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2132" windowHeight="9240" activeTab="0"/>
  </bookViews>
  <sheets>
    <sheet name="sommaire" sheetId="1" r:id="rId1"/>
    <sheet name="1958 et apres" sheetId="2" r:id="rId2"/>
    <sheet name="1951 janvier à juin" sheetId="3" r:id="rId3"/>
    <sheet name="1951 juillet à aout" sheetId="4" r:id="rId4"/>
    <sheet name="1951 septembre à décembre" sheetId="5" r:id="rId5"/>
    <sheet name="1952 janvier à avril" sheetId="6" r:id="rId6"/>
    <sheet name="1952 mai à septembre" sheetId="7" r:id="rId7"/>
    <sheet name="1953" sheetId="8" r:id="rId8"/>
    <sheet name="1954 janvier aout" sheetId="9" r:id="rId9"/>
    <sheet name="1954 septembre décembre" sheetId="10" r:id="rId10"/>
    <sheet name="1955 janvier avril" sheetId="11" r:id="rId11"/>
    <sheet name="1955 mai à décembre" sheetId="12" r:id="rId12"/>
    <sheet name="1956" sheetId="13" r:id="rId13"/>
    <sheet name="1957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<sst xmlns="http://schemas.openxmlformats.org/spreadsheetml/2006/main" count="708" uniqueCount="101">
  <si>
    <t>année naissance</t>
  </si>
  <si>
    <t>années decote calcul2 (age annulation - age départ)</t>
  </si>
  <si>
    <t>taux remplacement final</t>
  </si>
  <si>
    <t>taux remplacement taux plein</t>
  </si>
  <si>
    <t>taux remplacement avant décote</t>
  </si>
  <si>
    <t>année ouverture droit</t>
  </si>
  <si>
    <t>1958 ou postérieure</t>
  </si>
  <si>
    <t>2020 ou postérieure</t>
  </si>
  <si>
    <t>Parametres de base</t>
  </si>
  <si>
    <t>Calcul indicatif votre taux de remplacement personnel</t>
  </si>
  <si>
    <t>Age de départ</t>
  </si>
  <si>
    <t>nombre annuités à l'age de départ</t>
  </si>
  <si>
    <t>taux décote pour 1 an</t>
  </si>
  <si>
    <t>par an</t>
  </si>
  <si>
    <t>du dernier traitement</t>
  </si>
  <si>
    <t>traitement brut</t>
  </si>
  <si>
    <t>certifié classe normale 11eme échelon</t>
  </si>
  <si>
    <t>agrégé classe normale 11eme échelon</t>
  </si>
  <si>
    <t>certifié hors classe 7eme échelon</t>
  </si>
  <si>
    <t>agrégé hors classe dernier échelon</t>
  </si>
  <si>
    <t>pension brute</t>
  </si>
  <si>
    <t>pension nette</t>
  </si>
  <si>
    <t>retenues sur pension 6,90%</t>
  </si>
  <si>
    <t>mgen 3,35%</t>
  </si>
  <si>
    <t>date naissance 1958 ou postérieure</t>
  </si>
  <si>
    <t>années décote effectif(= la valeur la plus réduite  des deux calculs)</t>
  </si>
  <si>
    <t>Snes section académique de Versailles</t>
  </si>
  <si>
    <t>Simulation effet Réforme Retraites</t>
  </si>
  <si>
    <t>pension calcul 1 abattement  au prorata des annuités</t>
  </si>
  <si>
    <t>Les coupes dans le parc de Chantilly ou ce que Monsieur Woerth fait de vos retraites</t>
  </si>
  <si>
    <t>années decote calcul1 (nombre années exigées - nombre années effectives)</t>
  </si>
  <si>
    <t>age ouverture droit 62 ans</t>
  </si>
  <si>
    <t>annuités exigées 41,5</t>
  </si>
  <si>
    <t>age annulation décote 67</t>
  </si>
  <si>
    <t>décote</t>
  </si>
  <si>
    <t>&lt;--à renseigner</t>
  </si>
  <si>
    <t>nombre annuités à 62 ans (âge d'ouverture des droits )</t>
  </si>
  <si>
    <t>age ouverture droit 60 ans</t>
  </si>
  <si>
    <t>annuités exigées 40,75</t>
  </si>
  <si>
    <t>age annulation décote 62 ans 9 mois</t>
  </si>
  <si>
    <t>date naissance 1951 Janvier à Juin</t>
  </si>
  <si>
    <t>nombre annuités à 60 ans (âge d'ouverture des droits )</t>
  </si>
  <si>
    <t>age ouverture droit 60 ans 4 mois</t>
  </si>
  <si>
    <t>age annulation décote 63 ans 1 mois</t>
  </si>
  <si>
    <t>1951 janvier à juin</t>
  </si>
  <si>
    <t>1951 juillet à aout</t>
  </si>
  <si>
    <t>date naissance 1951 Juillet à août</t>
  </si>
  <si>
    <t>nombre annuités à 60 ans 4 mois(âge d'ouverture des droits )</t>
  </si>
  <si>
    <t>date naissance 1951 septembre à décembre</t>
  </si>
  <si>
    <t>age annulation décote 63 ans 4 mois</t>
  </si>
  <si>
    <t>1951 septembre à décembre</t>
  </si>
  <si>
    <t>date naissance 1952 janvier à avril</t>
  </si>
  <si>
    <t>1952 janvier à avril</t>
  </si>
  <si>
    <t>age ouverture droit 60 ans 8 mois</t>
  </si>
  <si>
    <t>annuités exigées 41</t>
  </si>
  <si>
    <t>age annulation décote 63 ans 8 mois</t>
  </si>
  <si>
    <t>nombre annuités à 60 ans 8 mois(âge d'ouverture des droits )</t>
  </si>
  <si>
    <t>date naissance 1952 mai à septembre</t>
  </si>
  <si>
    <t>1952 mai à septembre</t>
  </si>
  <si>
    <t>age annulation décote 63 ans 11 mois</t>
  </si>
  <si>
    <t>date naissance 1953</t>
  </si>
  <si>
    <t>age ouverture droit 61 ans</t>
  </si>
  <si>
    <t>age annulation décote 64 ans 6 mois</t>
  </si>
  <si>
    <t>nombre annuités à 61 ans (âge d'ouverture des droits )</t>
  </si>
  <si>
    <t>annuités exigées 41,25</t>
  </si>
  <si>
    <t>date naissance 1954 janvier aout</t>
  </si>
  <si>
    <t>1954 janvier aout</t>
  </si>
  <si>
    <t>age ouverture droit 61 ans 4 mois</t>
  </si>
  <si>
    <t>age annulation décote 65 ans 1 mois</t>
  </si>
  <si>
    <t>nombre annuités à 61 ans 4 mois (âge d'ouverture des droits )</t>
  </si>
  <si>
    <t>date naissance 1954 septembre décembre</t>
  </si>
  <si>
    <t>1954 septembre décembre</t>
  </si>
  <si>
    <t>age annulation décote 65 ans 4 mois</t>
  </si>
  <si>
    <t>date naissance 1955 janvier avril</t>
  </si>
  <si>
    <t>age ouverture droit 61 ans 8 mois</t>
  </si>
  <si>
    <t>nombre annuités à 61 ans 8 mois (âge d'ouverture des droits )</t>
  </si>
  <si>
    <t>date naissance 1955 mai à décembre</t>
  </si>
  <si>
    <t xml:space="preserve"> 1955 mai à décembre</t>
  </si>
  <si>
    <t>age annulation décote 65 ans 11mois</t>
  </si>
  <si>
    <t>age annulation décote 65 ans 8 mois</t>
  </si>
  <si>
    <t>date naissance 1956</t>
  </si>
  <si>
    <t>age annulation décote 66 ans 6 mois</t>
  </si>
  <si>
    <t>date naissance 1957</t>
  </si>
  <si>
    <t>age annulation décote 66 ans 9 mois</t>
  </si>
  <si>
    <t>Faire le Calcul indicatif votre taux de remplacement personnel</t>
  </si>
  <si>
    <t>les onglets sont classés par ordre chronologique de date de naissance, sauf le premier</t>
  </si>
  <si>
    <t>Sachant que tous les collègues ne parviennent pas au dernier échelon…….</t>
  </si>
  <si>
    <t xml:space="preserve">62 ans -  age à l'entrée dans le métier </t>
  </si>
  <si>
    <t>plus pour les femmes un an par enfant si vous étiez déjà en fonction</t>
  </si>
  <si>
    <t xml:space="preserve">61 ans 8 mois -  age à l'entrée dans le métier </t>
  </si>
  <si>
    <t xml:space="preserve">61 ans 4 mois -  age à l'entrée dans le métier </t>
  </si>
  <si>
    <t xml:space="preserve">61 ans -  age à l'entrée dans le métier </t>
  </si>
  <si>
    <t xml:space="preserve">60 ans 8 mois -  age à l'entrée dans le métier </t>
  </si>
  <si>
    <t xml:space="preserve">60 ans 4 mois -  age à l'entrée dans le métier </t>
  </si>
  <si>
    <t xml:space="preserve">60 ans -  age à l'entrée dans le métier </t>
  </si>
  <si>
    <t>Choisir la feuille de calcul qui correspond à votre date de naissance</t>
  </si>
  <si>
    <t>années décote effectif(= la valeur la plus réduite  des deux calculs ou zéro))</t>
  </si>
  <si>
    <t>Faute d'indication précise la surcote éventuelle n'est pas prise en compte dans le calcul</t>
  </si>
  <si>
    <t>nombre d'annuités à 60 ans</t>
  </si>
  <si>
    <t>taux remplacement=nombre annuités *2% maxi 75% sauf bonifications</t>
  </si>
  <si>
    <r>
      <t xml:space="preserve">Et dans la situation d'avant 2003(réforme Fillon) votre retraite </t>
    </r>
    <r>
      <rPr>
        <b/>
        <u val="single"/>
        <sz val="16"/>
        <rFont val="Arial"/>
        <family val="2"/>
      </rPr>
      <t>à 60 ans</t>
    </r>
    <r>
      <rPr>
        <b/>
        <sz val="16"/>
        <rFont val="Arial"/>
        <family val="2"/>
      </rPr>
      <t xml:space="preserve"> aurait été de….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</si>
</sst>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  <numFmt numFmtId="166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/>
    </xf>
    <xf numFmtId="9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6" fillId="2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9" fontId="1" fillId="5" borderId="0" xfId="0" applyNumberFormat="1" applyFont="1" applyFill="1" applyAlignment="1">
      <alignment/>
    </xf>
    <xf numFmtId="10" fontId="0" fillId="0" borderId="0" xfId="19" applyNumberFormat="1" applyAlignment="1">
      <alignment/>
    </xf>
    <xf numFmtId="10" fontId="3" fillId="2" borderId="0" xfId="0" applyNumberFormat="1" applyFont="1" applyFill="1" applyAlignment="1">
      <alignment/>
    </xf>
    <xf numFmtId="0" fontId="3" fillId="5" borderId="3" xfId="0" applyFont="1" applyFill="1" applyBorder="1" applyAlignment="1" applyProtection="1">
      <alignment/>
      <protection locked="0"/>
    </xf>
    <xf numFmtId="0" fontId="3" fillId="5" borderId="4" xfId="0" applyNumberFormat="1" applyFont="1" applyFill="1" applyBorder="1" applyAlignment="1" applyProtection="1">
      <alignment/>
      <protection locked="0"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/>
    </xf>
    <xf numFmtId="2" fontId="0" fillId="0" borderId="0" xfId="19" applyNumberFormat="1" applyAlignment="1">
      <alignment/>
    </xf>
    <xf numFmtId="10" fontId="0" fillId="0" borderId="0" xfId="19" applyNumberFormat="1" applyAlignment="1">
      <alignment/>
    </xf>
    <xf numFmtId="10" fontId="1" fillId="2" borderId="0" xfId="19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1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8" fontId="1" fillId="0" borderId="0" xfId="0" applyNumberFormat="1" applyFont="1" applyAlignment="1">
      <alignment wrapText="1"/>
    </xf>
    <xf numFmtId="0" fontId="7" fillId="3" borderId="0" xfId="0" applyFont="1" applyFill="1" applyAlignment="1">
      <alignment wrapText="1"/>
    </xf>
    <xf numFmtId="2" fontId="1" fillId="2" borderId="0" xfId="19" applyNumberFormat="1" applyFont="1" applyFill="1" applyAlignment="1">
      <alignment/>
    </xf>
    <xf numFmtId="0" fontId="3" fillId="5" borderId="0" xfId="0" applyFont="1" applyFill="1" applyAlignment="1">
      <alignment wrapText="1"/>
    </xf>
    <xf numFmtId="10" fontId="3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11.421875" defaultRowHeight="12.75"/>
  <sheetData>
    <row r="1" ht="17.25">
      <c r="A1" s="6" t="s">
        <v>26</v>
      </c>
    </row>
    <row r="2" ht="17.25">
      <c r="A2" s="6" t="s">
        <v>27</v>
      </c>
    </row>
    <row r="3" ht="12.75">
      <c r="A3" s="1" t="s">
        <v>29</v>
      </c>
    </row>
    <row r="4" spans="1:8" ht="21">
      <c r="A4" s="28" t="s">
        <v>84</v>
      </c>
      <c r="B4" s="21"/>
      <c r="C4" s="21"/>
      <c r="D4" s="21"/>
      <c r="E4" s="21"/>
      <c r="F4" s="21"/>
      <c r="G4" s="21"/>
      <c r="H4" s="21"/>
    </row>
    <row r="5" spans="1:8" ht="17.25">
      <c r="A5" s="15" t="s">
        <v>95</v>
      </c>
      <c r="B5" s="9"/>
      <c r="C5" s="9"/>
      <c r="D5" s="9"/>
      <c r="E5" s="9"/>
      <c r="F5" s="9"/>
      <c r="G5" s="9"/>
      <c r="H5" s="9"/>
    </row>
    <row r="7" spans="1:9" ht="15">
      <c r="A7" s="40" t="s">
        <v>85</v>
      </c>
      <c r="B7" s="8"/>
      <c r="C7" s="8"/>
      <c r="D7" s="8"/>
      <c r="E7" s="8"/>
      <c r="F7" s="8"/>
      <c r="G7" s="8"/>
      <c r="H7" s="8"/>
      <c r="I7" s="8"/>
    </row>
    <row r="9" ht="12.75">
      <c r="A9" s="36" t="s">
        <v>97</v>
      </c>
    </row>
  </sheetData>
  <sheetProtection password="D8FB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4">
      <selection activeCell="A17" sqref="A17:IV17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4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70</v>
      </c>
      <c r="C4" s="21"/>
      <c r="D4" s="21"/>
      <c r="E4" s="21"/>
      <c r="F4" s="21"/>
    </row>
    <row r="5" spans="1:6" ht="52.5">
      <c r="A5" t="s">
        <v>0</v>
      </c>
      <c r="B5" s="30" t="s">
        <v>67</v>
      </c>
      <c r="C5" s="30" t="s">
        <v>5</v>
      </c>
      <c r="D5" s="30" t="s">
        <v>32</v>
      </c>
      <c r="E5" s="30" t="s">
        <v>72</v>
      </c>
      <c r="F5" s="30" t="s">
        <v>12</v>
      </c>
    </row>
    <row r="6" spans="1:6" ht="21">
      <c r="A6" s="28" t="s">
        <v>71</v>
      </c>
      <c r="B6" s="20">
        <v>61.33</v>
      </c>
      <c r="C6" s="20">
        <v>2016</v>
      </c>
      <c r="D6" s="20">
        <v>41.5</v>
      </c>
      <c r="E6" s="37">
        <f>65.33</f>
        <v>65.33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61.33</v>
      </c>
      <c r="C9" s="29" t="s">
        <v>35</v>
      </c>
    </row>
    <row r="10" spans="1:5" ht="51.75">
      <c r="A10" s="17" t="s">
        <v>69</v>
      </c>
      <c r="B10" s="26">
        <v>40</v>
      </c>
      <c r="C10" s="29" t="s">
        <v>35</v>
      </c>
      <c r="D10" s="43" t="s">
        <v>90</v>
      </c>
      <c r="E10" s="43" t="s">
        <v>88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32">
        <f>B11/D6</f>
        <v>0.963855421686747</v>
      </c>
    </row>
    <row r="13" spans="1:2" ht="12.75">
      <c r="A13" s="2" t="s">
        <v>28</v>
      </c>
      <c r="B13" s="18">
        <f>IF(B12&gt;1,1,B12)</f>
        <v>0.963855421686747</v>
      </c>
    </row>
    <row r="14" spans="1:2" ht="12.75">
      <c r="A14" s="2" t="s">
        <v>4</v>
      </c>
      <c r="B14" s="33">
        <f>B7*B13</f>
        <v>0.7228915662650602</v>
      </c>
    </row>
    <row r="15" spans="1:2" ht="26.25">
      <c r="A15" s="2" t="s">
        <v>30</v>
      </c>
      <c r="B15">
        <f>D6-B11</f>
        <v>1.5</v>
      </c>
    </row>
    <row r="16" spans="1:2" ht="12.75">
      <c r="A16" s="2" t="s">
        <v>1</v>
      </c>
      <c r="B16" s="39">
        <f>E6-B9</f>
        <v>4</v>
      </c>
    </row>
    <row r="17" spans="1:2" ht="26.25" hidden="1">
      <c r="A17" s="2" t="s">
        <v>25</v>
      </c>
      <c r="B17" s="3">
        <f>IF(B15&gt;B16,B16,B15)</f>
        <v>1.5</v>
      </c>
    </row>
    <row r="18" spans="1:2" ht="26.25">
      <c r="A18" s="2" t="s">
        <v>96</v>
      </c>
      <c r="B18" s="44">
        <f>IF(B17&lt;0,0,B17)</f>
        <v>1.5</v>
      </c>
    </row>
    <row r="19" spans="1:4" ht="12.75">
      <c r="A19" s="2" t="s">
        <v>34</v>
      </c>
      <c r="B19" s="34">
        <f>B18*C19</f>
        <v>0.07500000000000001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0.6478915662650602</v>
      </c>
      <c r="C20" s="3" t="s">
        <v>14</v>
      </c>
    </row>
    <row r="21" ht="27.7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1973.9506716867468</v>
      </c>
      <c r="D23" s="10">
        <f>0.069*C23</f>
        <v>136.20259634638555</v>
      </c>
      <c r="E23" s="10">
        <f>C23*0.0335</f>
        <v>66.12734750150602</v>
      </c>
      <c r="F23" s="14">
        <f>C23-D23-E23</f>
        <v>1771.6207278388554</v>
      </c>
    </row>
    <row r="24" spans="1:6" ht="15">
      <c r="A24" s="2" t="s">
        <v>18</v>
      </c>
      <c r="B24" s="12">
        <v>3625.52</v>
      </c>
      <c r="C24" s="10">
        <f>B24*B20</f>
        <v>2348.943831325301</v>
      </c>
      <c r="D24" s="10">
        <f>0.069*C24</f>
        <v>162.07712436144578</v>
      </c>
      <c r="E24" s="10">
        <f>C24*0.0335</f>
        <v>78.68961834939758</v>
      </c>
      <c r="F24" s="14">
        <f>C24-D24-E24</f>
        <v>2108.1770886144573</v>
      </c>
    </row>
    <row r="25" spans="1:6" ht="15">
      <c r="A25" s="2" t="s">
        <v>17</v>
      </c>
      <c r="B25" s="12">
        <v>3801.47</v>
      </c>
      <c r="C25" s="10">
        <f>B25*B20</f>
        <v>2462.9403524096383</v>
      </c>
      <c r="D25" s="10">
        <f>0.069*C25</f>
        <v>169.94288431626507</v>
      </c>
      <c r="E25" s="10">
        <f>C25*0.0335</f>
        <v>82.50850180572289</v>
      </c>
      <c r="F25" s="14">
        <f>C25-D25-E25</f>
        <v>2210.4889662876503</v>
      </c>
    </row>
    <row r="26" spans="1:6" ht="15">
      <c r="A26" s="2" t="s">
        <v>19</v>
      </c>
      <c r="B26" s="12">
        <v>4458.97</v>
      </c>
      <c r="C26" s="10">
        <f>B26*B20</f>
        <v>2888.9290572289156</v>
      </c>
      <c r="D26" s="10">
        <f>0.069*C26</f>
        <v>199.3361049487952</v>
      </c>
      <c r="E26" s="10">
        <f>C26*0.0335</f>
        <v>96.77912341716868</v>
      </c>
      <c r="F26" s="14">
        <f>C26-D26-E26</f>
        <v>2592.8138288629516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38.67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7">
      <selection activeCell="B10" sqref="B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4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73</v>
      </c>
      <c r="C4" s="21"/>
      <c r="D4" s="21"/>
      <c r="E4" s="21"/>
      <c r="F4" s="21"/>
    </row>
    <row r="5" spans="1:6" ht="52.5">
      <c r="A5" t="s">
        <v>0</v>
      </c>
      <c r="B5" s="30" t="s">
        <v>74</v>
      </c>
      <c r="C5" s="30" t="s">
        <v>5</v>
      </c>
      <c r="D5" s="30" t="s">
        <v>32</v>
      </c>
      <c r="E5" s="30" t="s">
        <v>79</v>
      </c>
      <c r="F5" s="30" t="s">
        <v>12</v>
      </c>
    </row>
    <row r="6" spans="1:6" ht="21">
      <c r="A6" s="28" t="s">
        <v>73</v>
      </c>
      <c r="B6" s="20">
        <v>61.66</v>
      </c>
      <c r="C6" s="20">
        <v>2016</v>
      </c>
      <c r="D6" s="20">
        <v>41.5</v>
      </c>
      <c r="E6" s="37">
        <f>65.66</f>
        <v>65.66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51.75">
      <c r="A10" s="17" t="s">
        <v>75</v>
      </c>
      <c r="B10" s="26">
        <v>40</v>
      </c>
      <c r="C10" s="29" t="s">
        <v>35</v>
      </c>
      <c r="D10" s="43" t="s">
        <v>89</v>
      </c>
      <c r="E10" s="43" t="s">
        <v>88</v>
      </c>
    </row>
    <row r="11" spans="1:2" ht="14.25" customHeight="1">
      <c r="A11" s="2" t="s">
        <v>11</v>
      </c>
      <c r="B11" s="1">
        <f>B10+B9-B6</f>
        <v>40.34</v>
      </c>
    </row>
    <row r="12" ht="12.75" hidden="1">
      <c r="B12" s="32">
        <f>B11/D6</f>
        <v>0.9720481927710845</v>
      </c>
    </row>
    <row r="13" spans="1:2" ht="12.75">
      <c r="A13" s="2" t="s">
        <v>28</v>
      </c>
      <c r="B13" s="18">
        <f>IF(B12&gt;1,1,B12)</f>
        <v>0.9720481927710845</v>
      </c>
    </row>
    <row r="14" spans="1:2" ht="12.75">
      <c r="A14" s="2" t="s">
        <v>4</v>
      </c>
      <c r="B14" s="33">
        <f>B7*B13</f>
        <v>0.7290361445783133</v>
      </c>
    </row>
    <row r="15" spans="1:2" ht="26.25">
      <c r="A15" s="2" t="s">
        <v>30</v>
      </c>
      <c r="B15">
        <f>D6-B11</f>
        <v>1.1599999999999966</v>
      </c>
    </row>
    <row r="16" spans="1:2" ht="12.75">
      <c r="A16" s="2" t="s">
        <v>1</v>
      </c>
      <c r="B16" s="39">
        <f>E6-B9</f>
        <v>3.6599999999999966</v>
      </c>
    </row>
    <row r="17" spans="1:2" ht="26.25" hidden="1">
      <c r="A17" s="2" t="s">
        <v>25</v>
      </c>
      <c r="B17" s="3">
        <f>IF(B15&gt;B16,B16,B15)</f>
        <v>1.1599999999999966</v>
      </c>
    </row>
    <row r="18" spans="1:2" ht="26.25">
      <c r="A18" s="2" t="s">
        <v>96</v>
      </c>
      <c r="B18" s="44">
        <f>IF(B17&lt;0,0,B17)</f>
        <v>1.1599999999999966</v>
      </c>
    </row>
    <row r="19" spans="1:4" ht="12.75">
      <c r="A19" s="2" t="s">
        <v>34</v>
      </c>
      <c r="B19" s="34">
        <f>B18*C19</f>
        <v>0.05799999999999983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0.6710361445783135</v>
      </c>
      <c r="C20" s="3" t="s">
        <v>14</v>
      </c>
    </row>
    <row r="21" ht="25.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2044.465952771085</v>
      </c>
      <c r="D23" s="10">
        <f>0.069*C23</f>
        <v>141.06815074120487</v>
      </c>
      <c r="E23" s="10">
        <f>C23*0.0335</f>
        <v>68.48960941783136</v>
      </c>
      <c r="F23" s="14">
        <f>C23-D23-E23</f>
        <v>1834.9081926120489</v>
      </c>
    </row>
    <row r="24" spans="1:6" ht="15">
      <c r="A24" s="2" t="s">
        <v>18</v>
      </c>
      <c r="B24" s="12">
        <v>3625.52</v>
      </c>
      <c r="C24" s="10">
        <f>B24*B20</f>
        <v>2432.854962891567</v>
      </c>
      <c r="D24" s="10">
        <f>0.069*C24</f>
        <v>167.86699243951816</v>
      </c>
      <c r="E24" s="10">
        <f>C24*0.0335</f>
        <v>81.5006412568675</v>
      </c>
      <c r="F24" s="14">
        <f>C24-D24-E24</f>
        <v>2183.4873291951817</v>
      </c>
    </row>
    <row r="25" spans="1:6" ht="15">
      <c r="A25" s="2" t="s">
        <v>17</v>
      </c>
      <c r="B25" s="12">
        <v>3801.47</v>
      </c>
      <c r="C25" s="10">
        <f>B25*B20</f>
        <v>2550.9237725301214</v>
      </c>
      <c r="D25" s="10">
        <f>0.069*C25</f>
        <v>176.0137403045784</v>
      </c>
      <c r="E25" s="10">
        <f>C25*0.0335</f>
        <v>85.45594637975907</v>
      </c>
      <c r="F25" s="14">
        <f>C25-D25-E25</f>
        <v>2289.454085845784</v>
      </c>
    </row>
    <row r="26" spans="1:6" ht="15">
      <c r="A26" s="2" t="s">
        <v>19</v>
      </c>
      <c r="B26" s="12">
        <v>4458.97</v>
      </c>
      <c r="C26" s="10">
        <f>B26*B20</f>
        <v>2992.130037590363</v>
      </c>
      <c r="D26" s="10">
        <f>0.069*C26</f>
        <v>206.45697259373506</v>
      </c>
      <c r="E26" s="10">
        <f>C26*0.0335</f>
        <v>100.23635625927716</v>
      </c>
      <c r="F26" s="14">
        <f>C26-D26-E26</f>
        <v>2685.4367087373507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38.34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6">
      <selection activeCell="B10" sqref="B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5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76</v>
      </c>
      <c r="C4" s="21"/>
      <c r="D4" s="21"/>
      <c r="E4" s="21"/>
      <c r="F4" s="21"/>
    </row>
    <row r="5" spans="1:6" ht="52.5">
      <c r="A5" t="s">
        <v>0</v>
      </c>
      <c r="B5" s="30" t="s">
        <v>74</v>
      </c>
      <c r="C5" s="30" t="s">
        <v>5</v>
      </c>
      <c r="D5" s="30" t="s">
        <v>32</v>
      </c>
      <c r="E5" s="30" t="s">
        <v>78</v>
      </c>
      <c r="F5" s="30" t="s">
        <v>12</v>
      </c>
    </row>
    <row r="6" spans="1:6" ht="21">
      <c r="A6" s="28" t="s">
        <v>77</v>
      </c>
      <c r="B6" s="20">
        <v>61.66</v>
      </c>
      <c r="C6" s="20">
        <v>2017</v>
      </c>
      <c r="D6" s="20">
        <v>41.5</v>
      </c>
      <c r="E6" s="37">
        <f>11/12+65</f>
        <v>65.91666666666667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61.66</v>
      </c>
      <c r="C9" s="29" t="s">
        <v>35</v>
      </c>
    </row>
    <row r="10" spans="1:5" ht="51.75">
      <c r="A10" s="17" t="s">
        <v>75</v>
      </c>
      <c r="B10" s="26">
        <v>40</v>
      </c>
      <c r="C10" s="29" t="s">
        <v>35</v>
      </c>
      <c r="D10" s="43" t="s">
        <v>89</v>
      </c>
      <c r="E10" s="43" t="s">
        <v>88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32">
        <f>B11/D6</f>
        <v>0.963855421686747</v>
      </c>
    </row>
    <row r="13" spans="1:2" ht="12.75">
      <c r="A13" s="2" t="s">
        <v>28</v>
      </c>
      <c r="B13" s="18">
        <f>IF(B12&gt;1,1,B12)</f>
        <v>0.963855421686747</v>
      </c>
    </row>
    <row r="14" spans="1:2" ht="12.75">
      <c r="A14" s="2" t="s">
        <v>4</v>
      </c>
      <c r="B14" s="33">
        <f>B7*B13</f>
        <v>0.7228915662650602</v>
      </c>
    </row>
    <row r="15" spans="1:2" ht="26.25">
      <c r="A15" s="2" t="s">
        <v>30</v>
      </c>
      <c r="B15">
        <f>D6-B11</f>
        <v>1.5</v>
      </c>
    </row>
    <row r="16" spans="1:2" ht="12.75">
      <c r="A16" s="2" t="s">
        <v>1</v>
      </c>
      <c r="B16" s="39">
        <f>E6-B9</f>
        <v>4.256666666666675</v>
      </c>
    </row>
    <row r="17" spans="1:2" ht="26.25" hidden="1">
      <c r="A17" s="2" t="s">
        <v>25</v>
      </c>
      <c r="B17" s="3">
        <f>IF(B15&gt;B16,B16,B15)</f>
        <v>1.5</v>
      </c>
    </row>
    <row r="18" spans="1:2" ht="26.25">
      <c r="A18" s="2" t="s">
        <v>96</v>
      </c>
      <c r="B18" s="44">
        <f>IF(B17&lt;0,0,B17)</f>
        <v>1.5</v>
      </c>
    </row>
    <row r="19" spans="1:4" ht="12.75">
      <c r="A19" s="2" t="s">
        <v>34</v>
      </c>
      <c r="B19" s="34">
        <f>B18*C19</f>
        <v>0.07500000000000001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0.6478915662650602</v>
      </c>
      <c r="C20" s="3" t="s">
        <v>14</v>
      </c>
    </row>
    <row r="21" ht="27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1973.9506716867468</v>
      </c>
      <c r="D23" s="10">
        <f>0.069*C23</f>
        <v>136.20259634638555</v>
      </c>
      <c r="E23" s="10">
        <f>C23*0.0335</f>
        <v>66.12734750150602</v>
      </c>
      <c r="F23" s="14">
        <f>C23-D23-E23</f>
        <v>1771.6207278388554</v>
      </c>
    </row>
    <row r="24" spans="1:6" ht="15">
      <c r="A24" s="2" t="s">
        <v>18</v>
      </c>
      <c r="B24" s="12">
        <v>3625.52</v>
      </c>
      <c r="C24" s="10">
        <f>B24*B20</f>
        <v>2348.943831325301</v>
      </c>
      <c r="D24" s="10">
        <f>0.069*C24</f>
        <v>162.07712436144578</v>
      </c>
      <c r="E24" s="10">
        <f>C24*0.0335</f>
        <v>78.68961834939758</v>
      </c>
      <c r="F24" s="14">
        <f>C24-D24-E24</f>
        <v>2108.1770886144573</v>
      </c>
    </row>
    <row r="25" spans="1:6" ht="15">
      <c r="A25" s="2" t="s">
        <v>17</v>
      </c>
      <c r="B25" s="12">
        <v>3801.47</v>
      </c>
      <c r="C25" s="10">
        <f>B25*B20</f>
        <v>2462.9403524096383</v>
      </c>
      <c r="D25" s="10">
        <f>0.069*C25</f>
        <v>169.94288431626507</v>
      </c>
      <c r="E25" s="10">
        <f>C25*0.0335</f>
        <v>82.50850180572289</v>
      </c>
      <c r="F25" s="14">
        <f>C25-D25-E25</f>
        <v>2210.4889662876503</v>
      </c>
    </row>
    <row r="26" spans="1:6" ht="15">
      <c r="A26" s="2" t="s">
        <v>19</v>
      </c>
      <c r="B26" s="12">
        <v>4458.97</v>
      </c>
      <c r="C26" s="10">
        <f>B26*B20</f>
        <v>2888.9290572289156</v>
      </c>
      <c r="D26" s="10">
        <f>0.069*C26</f>
        <v>199.3361049487952</v>
      </c>
      <c r="E26" s="10">
        <f>C26*0.0335</f>
        <v>96.77912341716868</v>
      </c>
      <c r="F26" s="14">
        <f>C26-D26-E26</f>
        <v>2592.8138288629516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38.34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10" sqref="B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3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80</v>
      </c>
      <c r="C4" s="21"/>
      <c r="D4" s="21"/>
      <c r="E4" s="21"/>
      <c r="F4" s="21"/>
    </row>
    <row r="5" spans="1:6" ht="52.5">
      <c r="A5" t="s">
        <v>0</v>
      </c>
      <c r="B5" s="30" t="s">
        <v>31</v>
      </c>
      <c r="C5" s="30" t="s">
        <v>5</v>
      </c>
      <c r="D5" s="30" t="s">
        <v>32</v>
      </c>
      <c r="E5" s="30" t="s">
        <v>81</v>
      </c>
      <c r="F5" s="30" t="s">
        <v>12</v>
      </c>
    </row>
    <row r="6" spans="1:6" ht="21">
      <c r="A6" s="28">
        <v>1956</v>
      </c>
      <c r="B6" s="20">
        <v>62</v>
      </c>
      <c r="C6" s="20">
        <v>2018</v>
      </c>
      <c r="D6" s="20">
        <v>41.5</v>
      </c>
      <c r="E6" s="37">
        <f>66.5</f>
        <v>66.5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36</v>
      </c>
      <c r="B10" s="26">
        <v>40</v>
      </c>
      <c r="C10" s="29" t="s">
        <v>35</v>
      </c>
      <c r="D10" s="43" t="s">
        <v>87</v>
      </c>
      <c r="E10" s="43" t="s">
        <v>88</v>
      </c>
    </row>
    <row r="11" spans="1:2" ht="14.25" customHeight="1">
      <c r="A11" s="2" t="s">
        <v>11</v>
      </c>
      <c r="B11" s="1">
        <f>B10+B9-B6</f>
        <v>41</v>
      </c>
    </row>
    <row r="12" ht="12.75" hidden="1">
      <c r="B12" s="32">
        <f>B11/D6</f>
        <v>0.9879518072289156</v>
      </c>
    </row>
    <row r="13" spans="1:2" ht="12.75">
      <c r="A13" s="2" t="s">
        <v>28</v>
      </c>
      <c r="B13" s="18">
        <f>IF(B12&gt;1,1,B12)</f>
        <v>0.9879518072289156</v>
      </c>
    </row>
    <row r="14" spans="1:2" ht="12.75">
      <c r="A14" s="2" t="s">
        <v>4</v>
      </c>
      <c r="B14" s="33">
        <f>B7*B13</f>
        <v>0.7409638554216867</v>
      </c>
    </row>
    <row r="15" spans="1:2" ht="26.25">
      <c r="A15" s="2" t="s">
        <v>30</v>
      </c>
      <c r="B15">
        <f>D6-B11</f>
        <v>0.5</v>
      </c>
    </row>
    <row r="16" spans="1:2" ht="12.75">
      <c r="A16" s="2" t="s">
        <v>1</v>
      </c>
      <c r="B16" s="39">
        <f>E6-B9</f>
        <v>3.5</v>
      </c>
    </row>
    <row r="17" spans="1:2" ht="26.25" hidden="1">
      <c r="A17" s="2" t="s">
        <v>25</v>
      </c>
      <c r="B17" s="3">
        <f>IF(B15&gt;B16,B16,B15)</f>
        <v>0.5</v>
      </c>
    </row>
    <row r="18" spans="1:2" ht="26.25">
      <c r="A18" s="2" t="s">
        <v>96</v>
      </c>
      <c r="B18" s="44">
        <f>IF(B17&lt;0,0,B17)</f>
        <v>0.5</v>
      </c>
    </row>
    <row r="19" spans="1:4" ht="12.75">
      <c r="A19" s="2" t="s">
        <v>34</v>
      </c>
      <c r="B19" s="34">
        <f>B18*C19</f>
        <v>0.025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0.7159638554216867</v>
      </c>
      <c r="C20" s="3" t="s">
        <v>14</v>
      </c>
    </row>
    <row r="21" ht="27.7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2181.3485572289155</v>
      </c>
      <c r="D23" s="10">
        <f>0.069*C23</f>
        <v>150.51305044879518</v>
      </c>
      <c r="E23" s="10">
        <f>C23*0.0335</f>
        <v>73.07517666716868</v>
      </c>
      <c r="F23" s="14">
        <f>C23-D23-E23</f>
        <v>1957.7603301129516</v>
      </c>
    </row>
    <row r="24" spans="1:6" ht="15">
      <c r="A24" s="2" t="s">
        <v>18</v>
      </c>
      <c r="B24" s="12">
        <v>3625.52</v>
      </c>
      <c r="C24" s="10">
        <f>B24*B20</f>
        <v>2595.7412771084337</v>
      </c>
      <c r="D24" s="10">
        <f>0.069*C24</f>
        <v>179.10614812048195</v>
      </c>
      <c r="E24" s="10">
        <f>C24*0.0335</f>
        <v>86.95733278313253</v>
      </c>
      <c r="F24" s="14">
        <f>C24-D24-E24</f>
        <v>2329.677796204819</v>
      </c>
    </row>
    <row r="25" spans="1:6" ht="15">
      <c r="A25" s="2" t="s">
        <v>17</v>
      </c>
      <c r="B25" s="12">
        <v>3801.47</v>
      </c>
      <c r="C25" s="10">
        <f>B25*B20</f>
        <v>2721.7151174698793</v>
      </c>
      <c r="D25" s="10">
        <f>0.069*C25</f>
        <v>187.79834310542168</v>
      </c>
      <c r="E25" s="10">
        <f>C25*0.0335</f>
        <v>91.17745643524096</v>
      </c>
      <c r="F25" s="14">
        <f>C25-D25-E25</f>
        <v>2442.7393179292167</v>
      </c>
    </row>
    <row r="26" spans="1:6" ht="15">
      <c r="A26" s="2" t="s">
        <v>19</v>
      </c>
      <c r="B26" s="12">
        <v>4458.97</v>
      </c>
      <c r="C26" s="10">
        <f>B26*B20</f>
        <v>3192.4613524096385</v>
      </c>
      <c r="D26" s="10">
        <f>0.069*C26</f>
        <v>220.27983331626507</v>
      </c>
      <c r="E26" s="10">
        <f>C26*0.0335</f>
        <v>106.9474553057229</v>
      </c>
      <c r="F26" s="14">
        <f>C26-D26-E26</f>
        <v>2865.2340637876505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$A$31:$A$36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9" sqref="A9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3.0039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82</v>
      </c>
      <c r="C4" s="21"/>
      <c r="D4" s="21"/>
      <c r="E4" s="21"/>
      <c r="F4" s="21"/>
    </row>
    <row r="5" spans="1:6" ht="52.5">
      <c r="A5" t="s">
        <v>0</v>
      </c>
      <c r="B5" s="30" t="s">
        <v>31</v>
      </c>
      <c r="C5" s="30" t="s">
        <v>5</v>
      </c>
      <c r="D5" s="30" t="s">
        <v>32</v>
      </c>
      <c r="E5" s="30" t="s">
        <v>83</v>
      </c>
      <c r="F5" s="30" t="s">
        <v>12</v>
      </c>
    </row>
    <row r="6" spans="1:6" ht="21">
      <c r="A6" s="28">
        <v>1957</v>
      </c>
      <c r="B6" s="20">
        <v>62</v>
      </c>
      <c r="C6" s="20">
        <v>2019</v>
      </c>
      <c r="D6" s="20">
        <v>41.5</v>
      </c>
      <c r="E6" s="37">
        <f>66.75</f>
        <v>66.75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64</v>
      </c>
      <c r="C9" s="29" t="s">
        <v>35</v>
      </c>
    </row>
    <row r="10" spans="1:5" ht="51.75">
      <c r="A10" s="17" t="s">
        <v>36</v>
      </c>
      <c r="B10" s="26">
        <v>39</v>
      </c>
      <c r="C10" s="29" t="s">
        <v>35</v>
      </c>
      <c r="D10" s="43" t="s">
        <v>87</v>
      </c>
      <c r="E10" s="43" t="s">
        <v>88</v>
      </c>
    </row>
    <row r="11" spans="1:2" ht="14.25" customHeight="1">
      <c r="A11" s="2" t="s">
        <v>11</v>
      </c>
      <c r="B11" s="1">
        <f>B10+B9-B6</f>
        <v>41</v>
      </c>
    </row>
    <row r="12" ht="12.75" hidden="1">
      <c r="B12" s="32">
        <f>B11/D6</f>
        <v>0.9879518072289156</v>
      </c>
    </row>
    <row r="13" spans="1:2" ht="12.75">
      <c r="A13" s="2" t="s">
        <v>28</v>
      </c>
      <c r="B13" s="18">
        <f>IF(B12&gt;1,1,B12)</f>
        <v>0.9879518072289156</v>
      </c>
    </row>
    <row r="14" spans="1:2" ht="12.75">
      <c r="A14" s="2" t="s">
        <v>4</v>
      </c>
      <c r="B14" s="33">
        <f>B7*B13</f>
        <v>0.7409638554216867</v>
      </c>
    </row>
    <row r="15" spans="1:2" ht="26.25">
      <c r="A15" s="2" t="s">
        <v>30</v>
      </c>
      <c r="B15">
        <f>D6-B11</f>
        <v>0.5</v>
      </c>
    </row>
    <row r="16" spans="1:2" ht="12.75">
      <c r="A16" s="2" t="s">
        <v>1</v>
      </c>
      <c r="B16" s="39">
        <f>E6-B9</f>
        <v>2.75</v>
      </c>
    </row>
    <row r="17" spans="1:2" ht="26.25" hidden="1">
      <c r="A17" s="2" t="s">
        <v>25</v>
      </c>
      <c r="B17" s="3">
        <f>IF(B15&gt;B16,B16,B15)</f>
        <v>0.5</v>
      </c>
    </row>
    <row r="18" spans="1:2" ht="26.25">
      <c r="A18" s="2" t="s">
        <v>96</v>
      </c>
      <c r="B18" s="44">
        <f>IF(B17&lt;0,0,B17)</f>
        <v>0.5</v>
      </c>
    </row>
    <row r="19" spans="1:4" ht="12.75">
      <c r="A19" s="2" t="s">
        <v>34</v>
      </c>
      <c r="B19" s="34">
        <f>B18*C19</f>
        <v>0.025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0.7159638554216867</v>
      </c>
      <c r="C20" s="3" t="s">
        <v>14</v>
      </c>
    </row>
    <row r="21" ht="27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2181.3485572289155</v>
      </c>
      <c r="D23" s="10">
        <f>0.069*C23</f>
        <v>150.51305044879518</v>
      </c>
      <c r="E23" s="10">
        <f>C23*0.0335</f>
        <v>73.07517666716868</v>
      </c>
      <c r="F23" s="14">
        <f>C23-D23-E23</f>
        <v>1957.7603301129516</v>
      </c>
    </row>
    <row r="24" spans="1:6" ht="15">
      <c r="A24" s="2" t="s">
        <v>18</v>
      </c>
      <c r="B24" s="12">
        <v>3625.52</v>
      </c>
      <c r="C24" s="10">
        <f>B24*B20</f>
        <v>2595.7412771084337</v>
      </c>
      <c r="D24" s="10">
        <f>0.069*C24</f>
        <v>179.10614812048195</v>
      </c>
      <c r="E24" s="10">
        <f>C24*0.0335</f>
        <v>86.95733278313253</v>
      </c>
      <c r="F24" s="14">
        <f>C24-D24-E24</f>
        <v>2329.677796204819</v>
      </c>
    </row>
    <row r="25" spans="1:6" ht="15">
      <c r="A25" s="2" t="s">
        <v>17</v>
      </c>
      <c r="B25" s="12">
        <v>3801.47</v>
      </c>
      <c r="C25" s="10">
        <f>B25*B20</f>
        <v>2721.7151174698793</v>
      </c>
      <c r="D25" s="10">
        <f>0.069*C25</f>
        <v>187.79834310542168</v>
      </c>
      <c r="E25" s="10">
        <f>C25*0.0335</f>
        <v>91.17745643524096</v>
      </c>
      <c r="F25" s="14">
        <f>C25-D25-E25</f>
        <v>2442.7393179292167</v>
      </c>
    </row>
    <row r="26" spans="1:6" ht="15">
      <c r="A26" s="2" t="s">
        <v>19</v>
      </c>
      <c r="B26" s="12">
        <v>4458.97</v>
      </c>
      <c r="C26" s="10">
        <f>B26*B20</f>
        <v>3192.4613524096385</v>
      </c>
      <c r="D26" s="10">
        <f>0.069*C26</f>
        <v>220.27983331626507</v>
      </c>
      <c r="E26" s="10">
        <f>C26*0.0335</f>
        <v>106.9474553057229</v>
      </c>
      <c r="F26" s="14">
        <f>C26-D26-E26</f>
        <v>2865.2340637876505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37</v>
      </c>
    </row>
    <row r="47" spans="1:2" ht="34.5">
      <c r="A47" s="45" t="s">
        <v>99</v>
      </c>
      <c r="B47" s="46">
        <f>IF(B46*2%&gt;75%,75%,B46*2%)</f>
        <v>0.74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2254.5802</v>
      </c>
      <c r="D49" s="10">
        <f>0.069*C49</f>
        <v>155.5660338</v>
      </c>
      <c r="E49" s="10">
        <f>C49*0.0335</f>
        <v>75.5284367</v>
      </c>
      <c r="F49" s="14">
        <f>C49-D49-E49</f>
        <v>2023.4857294999997</v>
      </c>
    </row>
    <row r="50" spans="1:6" ht="15">
      <c r="A50" s="2" t="s">
        <v>18</v>
      </c>
      <c r="B50" s="12">
        <v>3625.52</v>
      </c>
      <c r="C50" s="10">
        <f>B50*B47</f>
        <v>2682.8848</v>
      </c>
      <c r="D50" s="10">
        <f>0.069*C50</f>
        <v>185.1190512</v>
      </c>
      <c r="E50" s="10">
        <f>C50*0.0335</f>
        <v>89.8766408</v>
      </c>
      <c r="F50" s="14">
        <f>C50-D50-E50</f>
        <v>2407.889108</v>
      </c>
    </row>
    <row r="51" spans="1:6" ht="15">
      <c r="A51" s="2" t="s">
        <v>17</v>
      </c>
      <c r="B51" s="12">
        <v>3801.47</v>
      </c>
      <c r="C51" s="10">
        <f>B51*B47</f>
        <v>2813.0878</v>
      </c>
      <c r="D51" s="10">
        <f>0.069*C51</f>
        <v>194.1030582</v>
      </c>
      <c r="E51" s="10">
        <f>C51*0.0335</f>
        <v>94.2384413</v>
      </c>
      <c r="F51" s="14">
        <f>C51-D51-E51</f>
        <v>2524.7463005</v>
      </c>
    </row>
    <row r="52" spans="1:6" ht="15">
      <c r="A52" s="2" t="s">
        <v>19</v>
      </c>
      <c r="B52" s="12">
        <v>4458.97</v>
      </c>
      <c r="C52" s="10">
        <f>B52*B47</f>
        <v>3299.6378</v>
      </c>
      <c r="D52" s="10">
        <f>0.069*C52</f>
        <v>227.6750082</v>
      </c>
      <c r="E52" s="10">
        <f>C52*0.0335</f>
        <v>110.5378663</v>
      </c>
      <c r="F52" s="14">
        <f>C52-D52-E52</f>
        <v>2961.4249255</v>
      </c>
    </row>
  </sheetData>
  <sheetProtection password="D8FB" sheet="1" objects="1" scenarios="1"/>
  <dataValidations count="2">
    <dataValidation type="list" allowBlank="1" showInputMessage="1" showErrorMessage="1" sqref="B9">
      <formula1>$A$31:$A$36</formula1>
    </dataValidation>
    <dataValidation type="list" allowBlank="1" showInputMessage="1" showErrorMessage="1" sqref="B10">
      <formula1>$B$28:$B$43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6">
      <selection activeCell="A1" sqref="A1"/>
    </sheetView>
  </sheetViews>
  <sheetFormatPr defaultColWidth="11.421875" defaultRowHeight="12.75"/>
  <cols>
    <col min="1" max="1" width="65.7109375" style="0" customWidth="1"/>
    <col min="2" max="2" width="14.57421875" style="0" customWidth="1"/>
    <col min="3" max="3" width="17.421875" style="0" customWidth="1"/>
    <col min="4" max="4" width="17.28125" style="0" customWidth="1"/>
    <col min="5" max="5" width="18.140625" style="0" customWidth="1"/>
    <col min="6" max="6" width="15.57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24</v>
      </c>
      <c r="C4" s="21"/>
      <c r="D4" s="21"/>
      <c r="E4" s="21"/>
    </row>
    <row r="5" spans="1:6" ht="26.25">
      <c r="A5" t="s">
        <v>0</v>
      </c>
      <c r="B5" s="30" t="s">
        <v>31</v>
      </c>
      <c r="C5" s="30" t="s">
        <v>5</v>
      </c>
      <c r="D5" s="30" t="s">
        <v>32</v>
      </c>
      <c r="E5" s="30" t="s">
        <v>33</v>
      </c>
      <c r="F5" s="30" t="s">
        <v>12</v>
      </c>
    </row>
    <row r="6" spans="1:6" ht="12.75">
      <c r="A6" s="20" t="s">
        <v>6</v>
      </c>
      <c r="B6" s="20">
        <v>62</v>
      </c>
      <c r="C6" s="20" t="s">
        <v>7</v>
      </c>
      <c r="D6" s="20">
        <v>41.5</v>
      </c>
      <c r="E6" s="20">
        <v>67</v>
      </c>
      <c r="F6" s="22"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44.25" customHeight="1">
      <c r="A10" s="17" t="s">
        <v>36</v>
      </c>
      <c r="B10" s="26">
        <v>38</v>
      </c>
      <c r="C10" s="29" t="s">
        <v>35</v>
      </c>
      <c r="D10" s="43" t="s">
        <v>87</v>
      </c>
      <c r="E10" s="43" t="s">
        <v>88</v>
      </c>
    </row>
    <row r="11" spans="1:2" ht="14.25" customHeight="1">
      <c r="A11" s="2" t="s">
        <v>11</v>
      </c>
      <c r="B11" s="1">
        <f>B10+B9-B6</f>
        <v>38</v>
      </c>
    </row>
    <row r="12" ht="12.75" hidden="1">
      <c r="B12" s="5">
        <f>B11/D6</f>
        <v>0.9156626506024096</v>
      </c>
    </row>
    <row r="13" spans="1:2" ht="12.75">
      <c r="A13" s="2" t="s">
        <v>28</v>
      </c>
      <c r="B13" s="18">
        <f>IF(B12&gt;1,1,B12)</f>
        <v>0.9156626506024096</v>
      </c>
    </row>
    <row r="14" spans="1:2" ht="12.75">
      <c r="A14" s="2" t="s">
        <v>4</v>
      </c>
      <c r="B14" s="23">
        <f>B7*B13</f>
        <v>0.6867469879518072</v>
      </c>
    </row>
    <row r="15" spans="1:2" ht="12.75">
      <c r="A15" s="2" t="s">
        <v>30</v>
      </c>
      <c r="B15">
        <f>D6-B11</f>
        <v>3.5</v>
      </c>
    </row>
    <row r="16" spans="1:2" ht="12.75">
      <c r="A16" s="2" t="s">
        <v>1</v>
      </c>
      <c r="B16">
        <f>E6-B9</f>
        <v>5</v>
      </c>
    </row>
    <row r="17" spans="1:2" ht="12.75" hidden="1">
      <c r="A17" s="2" t="s">
        <v>25</v>
      </c>
      <c r="B17" s="3">
        <f>IF(B15&gt;B16,B16,B15)</f>
        <v>3.5</v>
      </c>
    </row>
    <row r="18" spans="1:2" ht="12.75">
      <c r="A18" s="2" t="s">
        <v>96</v>
      </c>
      <c r="B18" s="44">
        <f>IF(B17&lt;0,0,B17)</f>
        <v>3.5</v>
      </c>
    </row>
    <row r="19" spans="1:4" ht="12.75">
      <c r="A19" s="2" t="s">
        <v>34</v>
      </c>
      <c r="B19" s="34">
        <f>B18*C19</f>
        <v>0.17500000000000002</v>
      </c>
      <c r="C19" s="4">
        <f>F6</f>
        <v>0.05</v>
      </c>
      <c r="D19" t="s">
        <v>13</v>
      </c>
    </row>
    <row r="20" spans="1:3" ht="17.25">
      <c r="A20" s="19" t="s">
        <v>2</v>
      </c>
      <c r="B20" s="24">
        <f>B14-B19</f>
        <v>0.5117469879518072</v>
      </c>
      <c r="C20" s="3" t="s">
        <v>14</v>
      </c>
    </row>
    <row r="21" ht="9" customHeight="1"/>
    <row r="22" spans="2:6" ht="24" customHeight="1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1559.1549006024095</v>
      </c>
      <c r="D23" s="10">
        <f>0.069*C23</f>
        <v>107.58168814156626</v>
      </c>
      <c r="E23" s="10">
        <f>C23*0.0335</f>
        <v>52.23168917018072</v>
      </c>
      <c r="F23" s="14">
        <f>C23-D23-E23</f>
        <v>1399.3415232906625</v>
      </c>
    </row>
    <row r="24" spans="1:6" ht="15">
      <c r="A24" s="2" t="s">
        <v>18</v>
      </c>
      <c r="B24" s="12">
        <v>3625.52</v>
      </c>
      <c r="C24" s="10">
        <f>B24*B20</f>
        <v>1855.3489397590358</v>
      </c>
      <c r="D24" s="10">
        <f>0.069*C24</f>
        <v>128.01907684337348</v>
      </c>
      <c r="E24" s="10">
        <f>C24*0.0335</f>
        <v>62.1541894819277</v>
      </c>
      <c r="F24" s="14">
        <f>C24-D24-E24</f>
        <v>1665.1756734337346</v>
      </c>
    </row>
    <row r="25" spans="1:6" ht="15">
      <c r="A25" s="2" t="s">
        <v>17</v>
      </c>
      <c r="B25" s="12">
        <v>3801.47</v>
      </c>
      <c r="C25" s="10">
        <f>B25*B20</f>
        <v>1945.3908222891564</v>
      </c>
      <c r="D25" s="10">
        <f>0.069*C25</f>
        <v>134.2319667379518</v>
      </c>
      <c r="E25" s="10">
        <f>C25*0.0335</f>
        <v>65.17059254668675</v>
      </c>
      <c r="F25" s="14">
        <f>C25-D25-E25</f>
        <v>1745.9882630045179</v>
      </c>
    </row>
    <row r="26" spans="1:6" ht="15">
      <c r="A26" s="2" t="s">
        <v>19</v>
      </c>
      <c r="B26" s="12">
        <v>4458.97</v>
      </c>
      <c r="C26" s="10">
        <f>B26*B20</f>
        <v>2281.8644668674697</v>
      </c>
      <c r="D26" s="10">
        <f>0.069*C26</f>
        <v>157.44864821385542</v>
      </c>
      <c r="E26" s="10">
        <f>C26*0.0335</f>
        <v>76.44245964006024</v>
      </c>
      <c r="F26" s="14">
        <f>C26-D26-E26</f>
        <v>2047.973359013554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2" s="21" customFormat="1" ht="21">
      <c r="A45" s="28" t="s">
        <v>100</v>
      </c>
      <c r="B45" s="27"/>
    </row>
    <row r="46" spans="1:2" ht="12.75">
      <c r="A46" t="s">
        <v>98</v>
      </c>
      <c r="B46">
        <f>B10+60-B6</f>
        <v>36</v>
      </c>
    </row>
    <row r="47" spans="1:3" ht="34.5">
      <c r="A47" s="45" t="s">
        <v>99</v>
      </c>
      <c r="B47" s="46">
        <f>IF(B46*2%&gt;75%,75%,B46*2%)</f>
        <v>0.72</v>
      </c>
      <c r="C47" s="20" t="s">
        <v>14</v>
      </c>
    </row>
    <row r="48" spans="2:6" ht="26.25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2193.6456</v>
      </c>
      <c r="D49" s="10">
        <f>0.069*C49</f>
        <v>151.3615464</v>
      </c>
      <c r="E49" s="10">
        <f>C49*0.0335</f>
        <v>73.4871276</v>
      </c>
      <c r="F49" s="14">
        <f>C49-D49-E49</f>
        <v>1968.796926</v>
      </c>
    </row>
    <row r="50" spans="1:6" ht="15">
      <c r="A50" s="2" t="s">
        <v>18</v>
      </c>
      <c r="B50" s="12">
        <v>3625.52</v>
      </c>
      <c r="C50" s="10">
        <f>B50*B47</f>
        <v>2610.3743999999997</v>
      </c>
      <c r="D50" s="10">
        <f>0.069*C50</f>
        <v>180.1158336</v>
      </c>
      <c r="E50" s="10">
        <f>C50*0.0335</f>
        <v>87.44754239999999</v>
      </c>
      <c r="F50" s="14">
        <f>C50-D50-E50</f>
        <v>2342.8110239999996</v>
      </c>
    </row>
    <row r="51" spans="1:6" ht="15">
      <c r="A51" s="2" t="s">
        <v>17</v>
      </c>
      <c r="B51" s="12">
        <v>3801.47</v>
      </c>
      <c r="C51" s="10">
        <f>B51*B47</f>
        <v>2737.0584</v>
      </c>
      <c r="D51" s="10">
        <f>0.069*C51</f>
        <v>188.8570296</v>
      </c>
      <c r="E51" s="10">
        <f>C51*0.0335</f>
        <v>91.6914564</v>
      </c>
      <c r="F51" s="14">
        <f>C51-D51-E51</f>
        <v>2456.509914</v>
      </c>
    </row>
    <row r="52" spans="1:6" ht="15">
      <c r="A52" s="2" t="s">
        <v>19</v>
      </c>
      <c r="B52" s="12">
        <v>4458.97</v>
      </c>
      <c r="C52" s="10">
        <f>B52*B47</f>
        <v>3210.4584</v>
      </c>
      <c r="D52" s="10">
        <f>0.069*C52</f>
        <v>221.5216296</v>
      </c>
      <c r="E52" s="10">
        <f>C52*0.0335</f>
        <v>107.55035640000001</v>
      </c>
      <c r="F52" s="14">
        <f>C52-D52-E52</f>
        <v>2881.386414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$B$29:$B$46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5" max="5" width="13.28125" style="0" customWidth="1"/>
    <col min="6" max="6" width="14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40</v>
      </c>
      <c r="C4" s="21"/>
      <c r="D4" s="21"/>
      <c r="E4" s="21"/>
    </row>
    <row r="5" spans="1:6" ht="52.5">
      <c r="A5" t="s">
        <v>0</v>
      </c>
      <c r="B5" s="30" t="s">
        <v>37</v>
      </c>
      <c r="C5" s="30" t="s">
        <v>5</v>
      </c>
      <c r="D5" s="30" t="s">
        <v>38</v>
      </c>
      <c r="E5" s="30" t="s">
        <v>39</v>
      </c>
      <c r="F5" s="30" t="s">
        <v>12</v>
      </c>
    </row>
    <row r="6" spans="1:6" ht="12.75">
      <c r="A6" s="20" t="s">
        <v>44</v>
      </c>
      <c r="B6" s="20">
        <v>60</v>
      </c>
      <c r="C6" s="20">
        <v>2011</v>
      </c>
      <c r="D6" s="20">
        <v>40.75</v>
      </c>
      <c r="E6" s="20">
        <v>62.75</v>
      </c>
      <c r="F6" s="22">
        <v>0.03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</v>
      </c>
      <c r="C9" s="29" t="s">
        <v>35</v>
      </c>
    </row>
    <row r="10" spans="1:5" ht="51.75">
      <c r="A10" s="17" t="s">
        <v>41</v>
      </c>
      <c r="B10" s="26">
        <v>39</v>
      </c>
      <c r="C10" s="29" t="s">
        <v>35</v>
      </c>
      <c r="D10" s="43" t="s">
        <v>94</v>
      </c>
      <c r="E10" s="43" t="s">
        <v>88</v>
      </c>
    </row>
    <row r="11" spans="1:2" ht="14.25" customHeight="1">
      <c r="A11" s="2" t="s">
        <v>11</v>
      </c>
      <c r="B11" s="1">
        <f>B10+B9-B6</f>
        <v>39</v>
      </c>
    </row>
    <row r="12" ht="12.75" hidden="1">
      <c r="B12" s="32">
        <f>B11/D6</f>
        <v>0.9570552147239264</v>
      </c>
    </row>
    <row r="13" spans="1:2" ht="12.75">
      <c r="A13" s="2" t="s">
        <v>28</v>
      </c>
      <c r="B13" s="18">
        <f>IF(B12&gt;1,1,B12)</f>
        <v>0.9570552147239264</v>
      </c>
    </row>
    <row r="14" spans="1:2" ht="12.75">
      <c r="A14" s="2" t="s">
        <v>4</v>
      </c>
      <c r="B14" s="33">
        <f>B7*B13</f>
        <v>0.7177914110429449</v>
      </c>
    </row>
    <row r="15" spans="1:2" ht="26.25">
      <c r="A15" s="2" t="s">
        <v>30</v>
      </c>
      <c r="B15">
        <f>D6-B11</f>
        <v>1.75</v>
      </c>
    </row>
    <row r="16" spans="1:2" ht="13.5" customHeight="1">
      <c r="A16" s="2" t="s">
        <v>1</v>
      </c>
      <c r="B16">
        <f>E6-B9</f>
        <v>2.75</v>
      </c>
    </row>
    <row r="17" spans="1:2" ht="26.25" hidden="1">
      <c r="A17" s="2" t="s">
        <v>25</v>
      </c>
      <c r="B17" s="3">
        <f>IF(B15&gt;B16,B16,B15)</f>
        <v>1.75</v>
      </c>
    </row>
    <row r="18" spans="1:2" ht="26.25">
      <c r="A18" s="2" t="s">
        <v>96</v>
      </c>
      <c r="B18" s="44">
        <f>IF(B17&lt;0,0,B17)</f>
        <v>1.75</v>
      </c>
    </row>
    <row r="19" spans="1:4" ht="12.75">
      <c r="A19" s="2" t="s">
        <v>34</v>
      </c>
      <c r="B19" s="34">
        <f>B18*C19</f>
        <v>0.0525</v>
      </c>
      <c r="C19" s="4">
        <f>F6</f>
        <v>0.03</v>
      </c>
      <c r="D19" t="s">
        <v>13</v>
      </c>
    </row>
    <row r="20" spans="1:3" ht="17.25">
      <c r="A20" s="19" t="s">
        <v>2</v>
      </c>
      <c r="B20" s="24">
        <f>B14-B19</f>
        <v>0.6652914110429449</v>
      </c>
      <c r="C20" s="3" t="s">
        <v>14</v>
      </c>
    </row>
    <row r="21" ht="26.2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2026.9633007668715</v>
      </c>
      <c r="D23" s="10">
        <f>0.069*C23</f>
        <v>139.86046775291413</v>
      </c>
      <c r="E23" s="10">
        <f>C23*0.0335</f>
        <v>67.9032705756902</v>
      </c>
      <c r="F23" s="14">
        <f>C23-D23-E23</f>
        <v>1819.1995624382673</v>
      </c>
    </row>
    <row r="24" spans="1:6" ht="15">
      <c r="A24" s="2" t="s">
        <v>18</v>
      </c>
      <c r="B24" s="12">
        <v>3625.52</v>
      </c>
      <c r="C24" s="10">
        <f>B24*B20</f>
        <v>2412.0273165644176</v>
      </c>
      <c r="D24" s="10">
        <f>0.069*C24</f>
        <v>166.42988484294483</v>
      </c>
      <c r="E24" s="10">
        <f>C24*0.0335</f>
        <v>80.802915104908</v>
      </c>
      <c r="F24" s="14">
        <f>C24-D24-E24</f>
        <v>2164.7945166165646</v>
      </c>
    </row>
    <row r="25" spans="1:6" ht="15">
      <c r="A25" s="2" t="s">
        <v>17</v>
      </c>
      <c r="B25" s="12">
        <v>3801.47</v>
      </c>
      <c r="C25" s="10">
        <f>B25*B20</f>
        <v>2529.0853403374235</v>
      </c>
      <c r="D25" s="10">
        <f>0.069*C25</f>
        <v>174.50688848328224</v>
      </c>
      <c r="E25" s="10">
        <f>C25*0.0335</f>
        <v>84.72435890130369</v>
      </c>
      <c r="F25" s="14">
        <f>C25-D25-E25</f>
        <v>2269.8540929528376</v>
      </c>
    </row>
    <row r="26" spans="1:6" ht="15">
      <c r="A26" s="2" t="s">
        <v>19</v>
      </c>
      <c r="B26" s="12">
        <v>4458.97</v>
      </c>
      <c r="C26" s="10">
        <f>B26*B20</f>
        <v>2966.51444309816</v>
      </c>
      <c r="D26" s="10">
        <f>0.069*C26</f>
        <v>204.68949657377306</v>
      </c>
      <c r="E26" s="10">
        <f>C26*0.0335</f>
        <v>99.37823384378837</v>
      </c>
      <c r="F26" s="14">
        <f>C26-D26-E26</f>
        <v>2662.446712680599</v>
      </c>
    </row>
    <row r="27" spans="1:6" ht="15" hidden="1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39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$A$27:$A$32</formula1>
    </dataValidation>
    <dataValidation type="list" allowBlank="1" showInputMessage="1" showErrorMessage="1" sqref="B10">
      <formula1>$B$29:$B$46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7">
      <selection activeCell="A6" sqref="A6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46</v>
      </c>
      <c r="C4" s="21"/>
      <c r="D4" s="21"/>
      <c r="E4" s="21"/>
    </row>
    <row r="5" spans="1:6" ht="52.5">
      <c r="A5" t="s">
        <v>0</v>
      </c>
      <c r="B5" s="30" t="s">
        <v>42</v>
      </c>
      <c r="C5" s="30" t="s">
        <v>5</v>
      </c>
      <c r="D5" s="30" t="s">
        <v>38</v>
      </c>
      <c r="E5" s="30" t="s">
        <v>43</v>
      </c>
      <c r="F5" s="30" t="s">
        <v>12</v>
      </c>
    </row>
    <row r="6" spans="1:6" ht="12.75">
      <c r="A6" s="20" t="s">
        <v>45</v>
      </c>
      <c r="B6" s="20">
        <v>60.33</v>
      </c>
      <c r="C6" s="20">
        <v>2011</v>
      </c>
      <c r="D6" s="20">
        <v>40.75</v>
      </c>
      <c r="E6" s="37">
        <f>1/12+63</f>
        <v>63.083333333333336</v>
      </c>
      <c r="F6" s="22">
        <v>0.03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60.33</v>
      </c>
      <c r="C9" s="29" t="s">
        <v>35</v>
      </c>
    </row>
    <row r="10" spans="1:5" ht="51.75">
      <c r="A10" s="17" t="s">
        <v>47</v>
      </c>
      <c r="B10" s="26">
        <v>39</v>
      </c>
      <c r="C10" s="29" t="s">
        <v>35</v>
      </c>
      <c r="D10" s="43" t="s">
        <v>93</v>
      </c>
      <c r="E10" s="43" t="s">
        <v>88</v>
      </c>
    </row>
    <row r="11" spans="1:2" ht="14.25" customHeight="1">
      <c r="A11" s="2" t="s">
        <v>11</v>
      </c>
      <c r="B11" s="1">
        <f>B10+B9-B6</f>
        <v>39</v>
      </c>
    </row>
    <row r="12" ht="12.75" hidden="1">
      <c r="B12" s="32">
        <f>B11/D6</f>
        <v>0.9570552147239264</v>
      </c>
    </row>
    <row r="13" spans="1:2" ht="12.75">
      <c r="A13" s="2" t="s">
        <v>28</v>
      </c>
      <c r="B13" s="18">
        <f>IF(B12&gt;1,1,B12)</f>
        <v>0.9570552147239264</v>
      </c>
    </row>
    <row r="14" spans="1:2" ht="12.75">
      <c r="A14" s="2" t="s">
        <v>4</v>
      </c>
      <c r="B14" s="33">
        <f>B7*B13</f>
        <v>0.7177914110429449</v>
      </c>
    </row>
    <row r="15" spans="1:2" ht="26.25">
      <c r="A15" s="2" t="s">
        <v>30</v>
      </c>
      <c r="B15">
        <f>D6-B11</f>
        <v>1.75</v>
      </c>
    </row>
    <row r="16" spans="1:2" ht="12.75">
      <c r="A16" s="2" t="s">
        <v>1</v>
      </c>
      <c r="B16">
        <f>E6-B9</f>
        <v>2.7533333333333374</v>
      </c>
    </row>
    <row r="17" spans="1:2" ht="26.25" hidden="1">
      <c r="A17" s="2" t="s">
        <v>25</v>
      </c>
      <c r="B17" s="3">
        <f>IF(B15&gt;B16,B16,B15)</f>
        <v>1.75</v>
      </c>
    </row>
    <row r="18" spans="1:2" ht="26.25">
      <c r="A18" s="2" t="s">
        <v>96</v>
      </c>
      <c r="B18" s="44">
        <f>IF(B17&lt;0,0,B17)</f>
        <v>1.75</v>
      </c>
    </row>
    <row r="19" spans="1:4" ht="12.75">
      <c r="A19" s="2" t="s">
        <v>34</v>
      </c>
      <c r="B19" s="34">
        <f>B18*C19</f>
        <v>0.0525</v>
      </c>
      <c r="C19" s="4">
        <f>F6</f>
        <v>0.03</v>
      </c>
      <c r="D19" t="s">
        <v>13</v>
      </c>
    </row>
    <row r="20" spans="1:3" ht="17.25">
      <c r="A20" s="19" t="s">
        <v>2</v>
      </c>
      <c r="B20" s="24">
        <f>B14-B19</f>
        <v>0.6652914110429449</v>
      </c>
      <c r="C20" s="3" t="s">
        <v>14</v>
      </c>
    </row>
    <row r="21" ht="30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2026.9633007668715</v>
      </c>
      <c r="D23" s="10">
        <f>0.069*C23</f>
        <v>139.86046775291413</v>
      </c>
      <c r="E23" s="10">
        <f>C23*0.0335</f>
        <v>67.9032705756902</v>
      </c>
      <c r="F23" s="14">
        <f>C23-D23-E23</f>
        <v>1819.1995624382673</v>
      </c>
    </row>
    <row r="24" spans="1:6" ht="15">
      <c r="A24" s="2" t="s">
        <v>18</v>
      </c>
      <c r="B24" s="12">
        <v>3625.52</v>
      </c>
      <c r="C24" s="10">
        <f>B24*B20</f>
        <v>2412.0273165644176</v>
      </c>
      <c r="D24" s="10">
        <f>0.069*C24</f>
        <v>166.42988484294483</v>
      </c>
      <c r="E24" s="10">
        <f>C24*0.0335</f>
        <v>80.802915104908</v>
      </c>
      <c r="F24" s="14">
        <f>C24-D24-E24</f>
        <v>2164.7945166165646</v>
      </c>
    </row>
    <row r="25" spans="1:6" ht="15">
      <c r="A25" s="2" t="s">
        <v>17</v>
      </c>
      <c r="B25" s="12">
        <v>3801.47</v>
      </c>
      <c r="C25" s="10">
        <f>B25*B20</f>
        <v>2529.0853403374235</v>
      </c>
      <c r="D25" s="10">
        <f>0.069*C25</f>
        <v>174.50688848328224</v>
      </c>
      <c r="E25" s="10">
        <f>C25*0.0335</f>
        <v>84.72435890130369</v>
      </c>
      <c r="F25" s="14">
        <f>C25-D25-E25</f>
        <v>2269.8540929528376</v>
      </c>
    </row>
    <row r="26" spans="1:6" ht="15">
      <c r="A26" s="2" t="s">
        <v>19</v>
      </c>
      <c r="B26" s="12">
        <v>4458.97</v>
      </c>
      <c r="C26" s="10">
        <f>B26*B20</f>
        <v>2966.51444309816</v>
      </c>
      <c r="D26" s="10">
        <f>0.069*C26</f>
        <v>204.68949657377306</v>
      </c>
      <c r="E26" s="10">
        <f>C26*0.0335</f>
        <v>99.37823384378837</v>
      </c>
      <c r="F26" s="14">
        <f>C26-D26-E26</f>
        <v>2662.446712680599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38.67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2">
      <selection activeCell="A17" sqref="A17:IV17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48</v>
      </c>
      <c r="C4" s="21"/>
      <c r="D4" s="21"/>
      <c r="E4" s="21"/>
      <c r="F4" s="21"/>
    </row>
    <row r="5" spans="1:6" ht="52.5">
      <c r="A5" t="s">
        <v>0</v>
      </c>
      <c r="B5" s="30" t="s">
        <v>42</v>
      </c>
      <c r="C5" s="30" t="s">
        <v>5</v>
      </c>
      <c r="D5" s="30" t="s">
        <v>54</v>
      </c>
      <c r="E5" s="30" t="s">
        <v>49</v>
      </c>
      <c r="F5" s="30" t="s">
        <v>12</v>
      </c>
    </row>
    <row r="6" spans="1:6" ht="12.75">
      <c r="A6" s="20" t="s">
        <v>50</v>
      </c>
      <c r="B6" s="20">
        <v>60.33</v>
      </c>
      <c r="C6" s="20">
        <v>2012</v>
      </c>
      <c r="D6" s="20">
        <v>41</v>
      </c>
      <c r="E6" s="37">
        <v>63.33</v>
      </c>
      <c r="F6" s="38">
        <f>0.875*4%</f>
        <v>0.035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60.33</v>
      </c>
      <c r="C9" s="29" t="s">
        <v>35</v>
      </c>
    </row>
    <row r="10" spans="1:5" ht="51.75">
      <c r="A10" s="17" t="s">
        <v>47</v>
      </c>
      <c r="B10" s="26">
        <v>40</v>
      </c>
      <c r="C10" s="29" t="s">
        <v>35</v>
      </c>
      <c r="D10" s="43" t="s">
        <v>93</v>
      </c>
      <c r="E10" s="43" t="s">
        <v>88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32">
        <f>B11/D6</f>
        <v>0.975609756097561</v>
      </c>
    </row>
    <row r="13" spans="1:2" ht="12.75">
      <c r="A13" s="2" t="s">
        <v>28</v>
      </c>
      <c r="B13" s="18">
        <f>IF(B12&gt;1,1,B12)</f>
        <v>0.975609756097561</v>
      </c>
    </row>
    <row r="14" spans="1:2" ht="12.75">
      <c r="A14" s="2" t="s">
        <v>4</v>
      </c>
      <c r="B14" s="33">
        <f>B7*B13</f>
        <v>0.7317073170731707</v>
      </c>
    </row>
    <row r="15" spans="1:2" ht="26.25">
      <c r="A15" s="2" t="s">
        <v>30</v>
      </c>
      <c r="B15">
        <f>D6-B11</f>
        <v>1</v>
      </c>
    </row>
    <row r="16" spans="1:2" ht="12.75">
      <c r="A16" s="2" t="s">
        <v>1</v>
      </c>
      <c r="B16">
        <f>E6-B9</f>
        <v>3</v>
      </c>
    </row>
    <row r="17" spans="1:2" ht="26.25" hidden="1">
      <c r="A17" s="2" t="s">
        <v>25</v>
      </c>
      <c r="B17" s="3">
        <f>IF(B15&gt;B16,B16,B15)</f>
        <v>1</v>
      </c>
    </row>
    <row r="18" spans="1:2" ht="26.25">
      <c r="A18" s="2" t="s">
        <v>96</v>
      </c>
      <c r="B18" s="44">
        <f>IF(B17&lt;0,0,B17)</f>
        <v>1</v>
      </c>
    </row>
    <row r="19" spans="1:4" ht="12.75">
      <c r="A19" s="2" t="s">
        <v>34</v>
      </c>
      <c r="B19" s="34">
        <f>B18*C19</f>
        <v>0.035</v>
      </c>
      <c r="C19" s="13">
        <f>F6</f>
        <v>0.035</v>
      </c>
      <c r="D19" t="s">
        <v>13</v>
      </c>
    </row>
    <row r="20" spans="1:3" ht="17.25">
      <c r="A20" s="19" t="s">
        <v>2</v>
      </c>
      <c r="B20" s="24">
        <f>B14-B19</f>
        <v>0.6967073170731707</v>
      </c>
      <c r="C20" s="3" t="s">
        <v>14</v>
      </c>
    </row>
    <row r="21" ht="27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2122.679084146341</v>
      </c>
      <c r="D23" s="10">
        <f>0.069*C23</f>
        <v>146.46485680609754</v>
      </c>
      <c r="E23" s="10">
        <f>C23*0.0335</f>
        <v>71.10974931890243</v>
      </c>
      <c r="F23" s="14">
        <f>C23-D23-E23</f>
        <v>1905.1044780213413</v>
      </c>
    </row>
    <row r="24" spans="1:6" ht="15">
      <c r="A24" s="2" t="s">
        <v>18</v>
      </c>
      <c r="B24" s="12">
        <v>3625.52</v>
      </c>
      <c r="C24" s="10">
        <f>B24*B20</f>
        <v>2525.9263121951217</v>
      </c>
      <c r="D24" s="10">
        <f>0.069*C24</f>
        <v>174.2889155414634</v>
      </c>
      <c r="E24" s="10">
        <f>C24*0.0335</f>
        <v>84.61853145853658</v>
      </c>
      <c r="F24" s="14">
        <f>C24-D24-E24</f>
        <v>2267.018865195122</v>
      </c>
    </row>
    <row r="25" spans="1:6" ht="15">
      <c r="A25" s="2" t="s">
        <v>17</v>
      </c>
      <c r="B25" s="12">
        <v>3801.47</v>
      </c>
      <c r="C25" s="10">
        <f>B25*B20</f>
        <v>2648.511964634146</v>
      </c>
      <c r="D25" s="10">
        <f>0.069*C25</f>
        <v>182.7473255597561</v>
      </c>
      <c r="E25" s="10">
        <f>C25*0.0335</f>
        <v>88.7251508152439</v>
      </c>
      <c r="F25" s="14">
        <f>C25-D25-E25</f>
        <v>2377.039488259146</v>
      </c>
    </row>
    <row r="26" spans="1:6" ht="15">
      <c r="A26" s="2" t="s">
        <v>19</v>
      </c>
      <c r="B26" s="12">
        <v>4458.97</v>
      </c>
      <c r="C26" s="10">
        <f>B26*B20</f>
        <v>3106.597025609756</v>
      </c>
      <c r="D26" s="10">
        <f>0.069*C26</f>
        <v>214.3551947670732</v>
      </c>
      <c r="E26" s="10">
        <f>C26*0.0335</f>
        <v>104.07100035792683</v>
      </c>
      <c r="F26" s="14">
        <f>C26-D26-E26</f>
        <v>2788.170830484756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39.67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17" sqref="A17:IV17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14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51</v>
      </c>
      <c r="C4" s="21"/>
      <c r="D4" s="21"/>
      <c r="E4" s="21"/>
      <c r="F4" s="21"/>
    </row>
    <row r="5" spans="1:6" ht="52.5">
      <c r="A5" t="s">
        <v>0</v>
      </c>
      <c r="B5" s="30" t="s">
        <v>53</v>
      </c>
      <c r="C5" s="30" t="s">
        <v>5</v>
      </c>
      <c r="D5" s="30" t="s">
        <v>54</v>
      </c>
      <c r="E5" s="30" t="s">
        <v>55</v>
      </c>
      <c r="F5" s="30" t="s">
        <v>12</v>
      </c>
    </row>
    <row r="6" spans="1:6" ht="12.75">
      <c r="A6" s="20" t="s">
        <v>52</v>
      </c>
      <c r="B6" s="20">
        <v>60.66</v>
      </c>
      <c r="C6" s="20">
        <v>2012</v>
      </c>
      <c r="D6" s="20">
        <v>41</v>
      </c>
      <c r="E6" s="37">
        <v>63.66</v>
      </c>
      <c r="F6" s="38">
        <f>0.875*4%</f>
        <v>0.035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</v>
      </c>
      <c r="C9" s="29" t="s">
        <v>35</v>
      </c>
    </row>
    <row r="10" spans="1:5" ht="51.75">
      <c r="A10" s="17" t="s">
        <v>56</v>
      </c>
      <c r="B10" s="26">
        <v>39</v>
      </c>
      <c r="C10" s="29" t="s">
        <v>35</v>
      </c>
      <c r="D10" s="43" t="s">
        <v>92</v>
      </c>
      <c r="E10" s="43" t="s">
        <v>88</v>
      </c>
    </row>
    <row r="11" spans="1:2" ht="14.25" customHeight="1">
      <c r="A11" s="2" t="s">
        <v>11</v>
      </c>
      <c r="B11" s="1">
        <f>B10+B9-B6</f>
        <v>39.34</v>
      </c>
    </row>
    <row r="12" ht="12.75" hidden="1">
      <c r="B12" s="32">
        <f>B11/D6</f>
        <v>0.9595121951219513</v>
      </c>
    </row>
    <row r="13" spans="1:2" ht="12.75">
      <c r="A13" s="2" t="s">
        <v>28</v>
      </c>
      <c r="B13" s="18">
        <f>IF(B12&gt;1,1,B12)</f>
        <v>0.9595121951219513</v>
      </c>
    </row>
    <row r="14" spans="1:2" ht="12.75">
      <c r="A14" s="2" t="s">
        <v>4</v>
      </c>
      <c r="B14" s="33">
        <f>B7*B13</f>
        <v>0.7196341463414635</v>
      </c>
    </row>
    <row r="15" spans="1:2" ht="26.25">
      <c r="A15" s="2" t="s">
        <v>30</v>
      </c>
      <c r="B15">
        <f>D6-B11</f>
        <v>1.6599999999999966</v>
      </c>
    </row>
    <row r="16" spans="1:2" ht="12.75">
      <c r="A16" s="2" t="s">
        <v>1</v>
      </c>
      <c r="B16">
        <f>E6-B9</f>
        <v>2.6599999999999966</v>
      </c>
    </row>
    <row r="17" spans="1:2" ht="26.25" hidden="1">
      <c r="A17" s="2" t="s">
        <v>25</v>
      </c>
      <c r="B17" s="3">
        <f>IF(B15&gt;B16,B16,B15)</f>
        <v>1.6599999999999966</v>
      </c>
    </row>
    <row r="18" spans="1:2" ht="26.25">
      <c r="A18" s="2" t="s">
        <v>96</v>
      </c>
      <c r="B18" s="44">
        <f>IF(B17&lt;0,0,B17)</f>
        <v>1.6599999999999966</v>
      </c>
    </row>
    <row r="19" spans="1:4" ht="12.75">
      <c r="A19" s="2" t="s">
        <v>34</v>
      </c>
      <c r="B19" s="34">
        <f>B18*C19</f>
        <v>0.05809999999999989</v>
      </c>
      <c r="C19" s="13">
        <f>F6</f>
        <v>0.035</v>
      </c>
      <c r="D19" t="s">
        <v>13</v>
      </c>
    </row>
    <row r="20" spans="1:3" ht="17.25">
      <c r="A20" s="19" t="s">
        <v>2</v>
      </c>
      <c r="B20" s="24">
        <f>B14-B19</f>
        <v>0.6615341463414636</v>
      </c>
      <c r="C20" s="3" t="s">
        <v>14</v>
      </c>
    </row>
    <row r="21" ht="24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2015.5159296829272</v>
      </c>
      <c r="D23" s="10">
        <f>0.069*C23</f>
        <v>139.070599148122</v>
      </c>
      <c r="E23" s="10">
        <f>C23*0.0335</f>
        <v>67.51978364437807</v>
      </c>
      <c r="F23" s="14">
        <f>C23-D23-E23</f>
        <v>1808.925546890427</v>
      </c>
    </row>
    <row r="24" spans="1:6" ht="15">
      <c r="A24" s="2" t="s">
        <v>18</v>
      </c>
      <c r="B24" s="12">
        <v>3625.52</v>
      </c>
      <c r="C24" s="10">
        <f>B24*B20</f>
        <v>2398.405278243903</v>
      </c>
      <c r="D24" s="10">
        <f>0.069*C24</f>
        <v>165.4899641988293</v>
      </c>
      <c r="E24" s="10">
        <f>C24*0.0335</f>
        <v>80.34657682117076</v>
      </c>
      <c r="F24" s="14">
        <f>C24-D24-E24</f>
        <v>2152.5687372239026</v>
      </c>
    </row>
    <row r="25" spans="1:6" ht="15">
      <c r="A25" s="2" t="s">
        <v>17</v>
      </c>
      <c r="B25" s="12">
        <v>3801.47</v>
      </c>
      <c r="C25" s="10">
        <f>B25*B20</f>
        <v>2514.8022112926833</v>
      </c>
      <c r="D25" s="10">
        <f>0.069*C25</f>
        <v>173.52135257919517</v>
      </c>
      <c r="E25" s="10">
        <f>C25*0.0335</f>
        <v>84.2458740783049</v>
      </c>
      <c r="F25" s="14">
        <f>C25-D25-E25</f>
        <v>2257.0349846351833</v>
      </c>
    </row>
    <row r="26" spans="1:6" ht="15">
      <c r="A26" s="2" t="s">
        <v>19</v>
      </c>
      <c r="B26" s="12">
        <v>4458.97</v>
      </c>
      <c r="C26" s="10">
        <f>B26*B20</f>
        <v>2949.760912512196</v>
      </c>
      <c r="D26" s="10">
        <f>0.069*C26</f>
        <v>203.53350296334153</v>
      </c>
      <c r="E26" s="10">
        <f>C26*0.0335</f>
        <v>98.81699056915856</v>
      </c>
      <c r="F26" s="14">
        <f>C26-D26-E26</f>
        <v>2647.410418979696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38.34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17" sqref="A17:IV17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4.14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57</v>
      </c>
      <c r="C4" s="21"/>
      <c r="D4" s="21"/>
      <c r="E4" s="21"/>
      <c r="F4" s="21"/>
    </row>
    <row r="5" spans="1:6" ht="52.5">
      <c r="A5" t="s">
        <v>0</v>
      </c>
      <c r="B5" s="30" t="s">
        <v>53</v>
      </c>
      <c r="C5" s="30" t="s">
        <v>5</v>
      </c>
      <c r="D5" s="30" t="s">
        <v>54</v>
      </c>
      <c r="E5" s="30" t="s">
        <v>59</v>
      </c>
      <c r="F5" s="30" t="s">
        <v>12</v>
      </c>
    </row>
    <row r="6" spans="1:6" ht="12.75">
      <c r="A6" s="20" t="s">
        <v>58</v>
      </c>
      <c r="B6" s="20">
        <v>60.66</v>
      </c>
      <c r="C6" s="20">
        <v>2013</v>
      </c>
      <c r="D6" s="20">
        <v>41</v>
      </c>
      <c r="E6" s="37">
        <f>63+11/12</f>
        <v>63.916666666666664</v>
      </c>
      <c r="F6" s="38">
        <f>4%</f>
        <v>0.04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</v>
      </c>
      <c r="C9" s="29" t="s">
        <v>35</v>
      </c>
    </row>
    <row r="10" spans="1:5" ht="51.75">
      <c r="A10" s="17" t="s">
        <v>56</v>
      </c>
      <c r="B10" s="26">
        <v>40</v>
      </c>
      <c r="C10" s="29" t="s">
        <v>35</v>
      </c>
      <c r="D10" s="43" t="s">
        <v>92</v>
      </c>
      <c r="E10" s="43" t="s">
        <v>88</v>
      </c>
    </row>
    <row r="11" spans="1:2" ht="14.25" customHeight="1">
      <c r="A11" s="2" t="s">
        <v>11</v>
      </c>
      <c r="B11" s="1">
        <f>B10+B9-B6</f>
        <v>40.34</v>
      </c>
    </row>
    <row r="12" ht="12.75" hidden="1">
      <c r="B12" s="32">
        <f>B11/D6</f>
        <v>0.9839024390243903</v>
      </c>
    </row>
    <row r="13" spans="1:2" ht="12.75">
      <c r="A13" s="2" t="s">
        <v>28</v>
      </c>
      <c r="B13" s="18">
        <f>IF(B12&gt;1,1,B12)</f>
        <v>0.9839024390243903</v>
      </c>
    </row>
    <row r="14" spans="1:2" ht="12.75">
      <c r="A14" s="2" t="s">
        <v>4</v>
      </c>
      <c r="B14" s="33">
        <f>B7*B13</f>
        <v>0.7379268292682928</v>
      </c>
    </row>
    <row r="15" spans="1:2" ht="26.25">
      <c r="A15" s="2" t="s">
        <v>30</v>
      </c>
      <c r="B15">
        <f>D6-B11</f>
        <v>0.6599999999999966</v>
      </c>
    </row>
    <row r="16" spans="1:2" ht="12.75">
      <c r="A16" s="2" t="s">
        <v>1</v>
      </c>
      <c r="B16" s="39">
        <f>E6-B9</f>
        <v>2.9166666666666643</v>
      </c>
    </row>
    <row r="17" spans="1:2" ht="26.25" hidden="1">
      <c r="A17" s="2" t="s">
        <v>25</v>
      </c>
      <c r="B17" s="3">
        <f>IF(B15&gt;B16,B16,B15)</f>
        <v>0.6599999999999966</v>
      </c>
    </row>
    <row r="18" spans="1:2" ht="26.25">
      <c r="A18" s="2" t="s">
        <v>96</v>
      </c>
      <c r="B18" s="44">
        <f>IF(B17&lt;0,0,B17)</f>
        <v>0.6599999999999966</v>
      </c>
    </row>
    <row r="19" spans="1:4" ht="12.75">
      <c r="A19" s="2" t="s">
        <v>34</v>
      </c>
      <c r="B19" s="34">
        <f>B18*C19</f>
        <v>0.026399999999999865</v>
      </c>
      <c r="C19" s="13">
        <f>F6</f>
        <v>0.04</v>
      </c>
      <c r="D19" t="s">
        <v>13</v>
      </c>
    </row>
    <row r="20" spans="1:3" ht="17.25">
      <c r="A20" s="19" t="s">
        <v>2</v>
      </c>
      <c r="B20" s="24">
        <f>B14-B19</f>
        <v>0.7115268292682929</v>
      </c>
      <c r="C20" s="3" t="s">
        <v>14</v>
      </c>
    </row>
    <row r="21" ht="24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2167.830136536586</v>
      </c>
      <c r="D23" s="10">
        <f>0.069*C23</f>
        <v>149.58027942102444</v>
      </c>
      <c r="E23" s="10">
        <f>C23*0.0335</f>
        <v>72.62230957397564</v>
      </c>
      <c r="F23" s="14">
        <f>C23-D23-E23</f>
        <v>1945.627547541586</v>
      </c>
    </row>
    <row r="24" spans="1:6" ht="15">
      <c r="A24" s="2" t="s">
        <v>18</v>
      </c>
      <c r="B24" s="12">
        <v>3625.52</v>
      </c>
      <c r="C24" s="10">
        <f>B24*B20</f>
        <v>2579.6547500487814</v>
      </c>
      <c r="D24" s="10">
        <f>0.069*C24</f>
        <v>177.99617775336594</v>
      </c>
      <c r="E24" s="10">
        <f>C24*0.0335</f>
        <v>86.41843412663418</v>
      </c>
      <c r="F24" s="14">
        <f>C24-D24-E24</f>
        <v>2315.2401381687814</v>
      </c>
    </row>
    <row r="25" spans="1:6" ht="15">
      <c r="A25" s="2" t="s">
        <v>17</v>
      </c>
      <c r="B25" s="12">
        <v>3801.47</v>
      </c>
      <c r="C25" s="10">
        <f>B25*B20</f>
        <v>2704.8478956585373</v>
      </c>
      <c r="D25" s="10">
        <f>0.069*C25</f>
        <v>186.6345048004391</v>
      </c>
      <c r="E25" s="10">
        <f>C25*0.0335</f>
        <v>90.612404504561</v>
      </c>
      <c r="F25" s="14">
        <f>C25-D25-E25</f>
        <v>2427.6009863535373</v>
      </c>
    </row>
    <row r="26" spans="1:6" ht="15">
      <c r="A26" s="2" t="s">
        <v>19</v>
      </c>
      <c r="B26" s="12">
        <v>4458.97</v>
      </c>
      <c r="C26" s="10">
        <f>B26*B20</f>
        <v>3172.6767859024403</v>
      </c>
      <c r="D26" s="10">
        <f>0.069*C26</f>
        <v>218.9146982272684</v>
      </c>
      <c r="E26" s="10">
        <f>C26*0.0335</f>
        <v>106.28467232773176</v>
      </c>
      <c r="F26" s="14">
        <f>C26-D26-E26</f>
        <v>2847.4774153474405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39.34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10" sqref="B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60</v>
      </c>
      <c r="C4" s="21"/>
      <c r="D4" s="21"/>
      <c r="E4" s="21"/>
      <c r="F4" s="21"/>
    </row>
    <row r="5" spans="1:6" ht="52.5">
      <c r="A5" t="s">
        <v>0</v>
      </c>
      <c r="B5" s="30" t="s">
        <v>61</v>
      </c>
      <c r="C5" s="30" t="s">
        <v>5</v>
      </c>
      <c r="D5" s="30" t="s">
        <v>64</v>
      </c>
      <c r="E5" s="30" t="s">
        <v>62</v>
      </c>
      <c r="F5" s="30" t="s">
        <v>12</v>
      </c>
    </row>
    <row r="6" spans="1:6" ht="12.75">
      <c r="A6" s="20">
        <v>1953</v>
      </c>
      <c r="B6" s="20">
        <v>61</v>
      </c>
      <c r="C6" s="20">
        <v>2014</v>
      </c>
      <c r="D6" s="20">
        <v>41.25</v>
      </c>
      <c r="E6" s="37">
        <v>64.5</v>
      </c>
      <c r="F6" s="38">
        <f>4.5%</f>
        <v>0.045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63</v>
      </c>
      <c r="B10" s="26">
        <v>40</v>
      </c>
      <c r="C10" s="29" t="s">
        <v>35</v>
      </c>
      <c r="D10" s="43" t="s">
        <v>91</v>
      </c>
      <c r="E10" s="43" t="s">
        <v>88</v>
      </c>
    </row>
    <row r="11" spans="1:2" ht="14.25" customHeight="1">
      <c r="A11" s="2" t="s">
        <v>11</v>
      </c>
      <c r="B11" s="1">
        <f>B10+B9-B6</f>
        <v>42</v>
      </c>
    </row>
    <row r="12" ht="12.75" hidden="1">
      <c r="B12" s="32">
        <f>B11/D6</f>
        <v>1.018181818181818</v>
      </c>
    </row>
    <row r="13" spans="1:2" ht="12.75">
      <c r="A13" s="2" t="s">
        <v>28</v>
      </c>
      <c r="B13" s="18">
        <f>IF(B12&gt;1,1,B12)</f>
        <v>1</v>
      </c>
    </row>
    <row r="14" spans="1:2" ht="12.75">
      <c r="A14" s="2" t="s">
        <v>4</v>
      </c>
      <c r="B14" s="33">
        <f>B7*B13</f>
        <v>0.75</v>
      </c>
    </row>
    <row r="15" spans="1:2" ht="26.25">
      <c r="A15" s="2" t="s">
        <v>30</v>
      </c>
      <c r="B15">
        <f>D6-B11</f>
        <v>-0.75</v>
      </c>
    </row>
    <row r="16" spans="1:2" ht="12.75">
      <c r="A16" s="2" t="s">
        <v>1</v>
      </c>
      <c r="B16" s="39">
        <f>E6-B9</f>
        <v>1.5</v>
      </c>
    </row>
    <row r="17" spans="1:2" ht="26.25" hidden="1">
      <c r="A17" s="2" t="s">
        <v>25</v>
      </c>
      <c r="B17" s="3">
        <f>IF(B15&gt;B16,B16,B15)</f>
        <v>-0.75</v>
      </c>
    </row>
    <row r="18" spans="1:2" ht="26.25">
      <c r="A18" s="2" t="s">
        <v>96</v>
      </c>
      <c r="B18" s="44">
        <f>IF(B17&lt;0,0,B17)</f>
        <v>0</v>
      </c>
    </row>
    <row r="19" spans="1:4" ht="12.75">
      <c r="A19" s="2" t="s">
        <v>34</v>
      </c>
      <c r="B19" s="34">
        <f>B18*C19</f>
        <v>0</v>
      </c>
      <c r="C19" s="13">
        <f>F6</f>
        <v>0.045</v>
      </c>
      <c r="D19" t="s">
        <v>13</v>
      </c>
    </row>
    <row r="20" spans="1:3" ht="17.25">
      <c r="A20" s="19" t="s">
        <v>2</v>
      </c>
      <c r="B20" s="24">
        <f>B14-B19</f>
        <v>0.75</v>
      </c>
      <c r="C20" s="3" t="s">
        <v>14</v>
      </c>
    </row>
    <row r="21" ht="26.2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2285.0475</v>
      </c>
      <c r="D23" s="10">
        <f>0.069*C23</f>
        <v>157.66827750000002</v>
      </c>
      <c r="E23" s="10">
        <f>C23*0.0335</f>
        <v>76.54909125</v>
      </c>
      <c r="F23" s="14">
        <f>C23-D23-E23</f>
        <v>2050.8301312500002</v>
      </c>
    </row>
    <row r="24" spans="1:6" ht="15">
      <c r="A24" s="2" t="s">
        <v>18</v>
      </c>
      <c r="B24" s="12">
        <v>3625.52</v>
      </c>
      <c r="C24" s="10">
        <f>B24*B20</f>
        <v>2719.14</v>
      </c>
      <c r="D24" s="10">
        <f>0.069*C24</f>
        <v>187.62066000000002</v>
      </c>
      <c r="E24" s="10">
        <f>C24*0.0335</f>
        <v>91.09119</v>
      </c>
      <c r="F24" s="14">
        <f>C24-D24-E24</f>
        <v>2440.4281499999997</v>
      </c>
    </row>
    <row r="25" spans="1:6" ht="15">
      <c r="A25" s="2" t="s">
        <v>17</v>
      </c>
      <c r="B25" s="12">
        <v>3801.47</v>
      </c>
      <c r="C25" s="10">
        <f>B25*B20</f>
        <v>2851.1025</v>
      </c>
      <c r="D25" s="10">
        <f>0.069*C25</f>
        <v>196.72607250000001</v>
      </c>
      <c r="E25" s="10">
        <f>C25*0.0335</f>
        <v>95.51193375000001</v>
      </c>
      <c r="F25" s="14">
        <f>C25-D25-E25</f>
        <v>2558.86449375</v>
      </c>
    </row>
    <row r="26" spans="1:6" ht="15">
      <c r="A26" s="2" t="s">
        <v>19</v>
      </c>
      <c r="B26" s="12">
        <v>4458.97</v>
      </c>
      <c r="C26" s="10">
        <f>B26*B20</f>
        <v>3344.2275</v>
      </c>
      <c r="D26" s="10">
        <f>0.069*C26</f>
        <v>230.7516975</v>
      </c>
      <c r="E26" s="10">
        <f>C26*0.0335</f>
        <v>112.03162125</v>
      </c>
      <c r="F26" s="14">
        <f>C26-D26-E26</f>
        <v>3001.44418125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39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16" sqref="B16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4.0039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65</v>
      </c>
      <c r="C4" s="21"/>
      <c r="D4" s="21"/>
      <c r="E4" s="21"/>
      <c r="F4" s="21"/>
    </row>
    <row r="5" spans="1:6" ht="52.5">
      <c r="A5" t="s">
        <v>0</v>
      </c>
      <c r="B5" s="30" t="s">
        <v>67</v>
      </c>
      <c r="C5" s="30" t="s">
        <v>5</v>
      </c>
      <c r="D5" s="30" t="s">
        <v>32</v>
      </c>
      <c r="E5" s="30" t="s">
        <v>68</v>
      </c>
      <c r="F5" s="30" t="s">
        <v>12</v>
      </c>
    </row>
    <row r="6" spans="1:6" ht="12.75">
      <c r="A6" s="20" t="s">
        <v>66</v>
      </c>
      <c r="B6" s="20">
        <v>61.33</v>
      </c>
      <c r="C6" s="20">
        <v>2015</v>
      </c>
      <c r="D6" s="20">
        <v>41.5</v>
      </c>
      <c r="E6" s="37">
        <f>65+1/12</f>
        <v>65.08333333333333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69</v>
      </c>
      <c r="B10" s="26">
        <v>40</v>
      </c>
      <c r="C10" s="29" t="s">
        <v>35</v>
      </c>
      <c r="D10" s="43" t="s">
        <v>90</v>
      </c>
      <c r="E10" s="43" t="s">
        <v>88</v>
      </c>
    </row>
    <row r="11" spans="1:2" ht="14.25" customHeight="1">
      <c r="A11" s="2" t="s">
        <v>11</v>
      </c>
      <c r="B11" s="1">
        <f>B10+B9-B6</f>
        <v>41.67</v>
      </c>
    </row>
    <row r="12" ht="12.75" hidden="1">
      <c r="B12" s="32">
        <f>B11/D6</f>
        <v>1.0040963855421687</v>
      </c>
    </row>
    <row r="13" spans="1:2" ht="12.75">
      <c r="A13" s="2" t="s">
        <v>28</v>
      </c>
      <c r="B13" s="18">
        <f>IF(B12&gt;1,1,B12)</f>
        <v>1</v>
      </c>
    </row>
    <row r="14" spans="1:2" ht="12.75">
      <c r="A14" s="2" t="s">
        <v>4</v>
      </c>
      <c r="B14" s="33">
        <f>B7*B13</f>
        <v>0.75</v>
      </c>
    </row>
    <row r="15" spans="1:2" ht="26.25">
      <c r="A15" s="2" t="s">
        <v>30</v>
      </c>
      <c r="B15">
        <f>D6-B11</f>
        <v>-0.1700000000000017</v>
      </c>
    </row>
    <row r="16" spans="1:2" ht="12.75">
      <c r="A16" s="2" t="s">
        <v>1</v>
      </c>
      <c r="B16" s="39">
        <f>E6-B9</f>
        <v>2.0833333333333286</v>
      </c>
    </row>
    <row r="17" spans="1:2" ht="26.25" hidden="1">
      <c r="A17" s="2" t="s">
        <v>25</v>
      </c>
      <c r="B17" s="3">
        <f>IF(B15&gt;B16,B16,B15)</f>
        <v>-0.1700000000000017</v>
      </c>
    </row>
    <row r="18" spans="1:2" ht="26.25">
      <c r="A18" s="2" t="s">
        <v>96</v>
      </c>
      <c r="B18" s="44">
        <f>IF(B17&lt;0,0,B17)</f>
        <v>0</v>
      </c>
    </row>
    <row r="19" spans="1:4" ht="12.75">
      <c r="A19" s="2" t="s">
        <v>34</v>
      </c>
      <c r="B19" s="34">
        <f>B18*C19</f>
        <v>0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0.75</v>
      </c>
      <c r="C20" s="3" t="s">
        <v>14</v>
      </c>
    </row>
    <row r="21" ht="28.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2285.0475</v>
      </c>
      <c r="D23" s="10">
        <f>0.069*C23</f>
        <v>157.66827750000002</v>
      </c>
      <c r="E23" s="10">
        <f>C23*0.0335</f>
        <v>76.54909125</v>
      </c>
      <c r="F23" s="14">
        <f>C23-D23-E23</f>
        <v>2050.8301312500002</v>
      </c>
    </row>
    <row r="24" spans="1:6" ht="15">
      <c r="A24" s="2" t="s">
        <v>18</v>
      </c>
      <c r="B24" s="12">
        <v>3625.52</v>
      </c>
      <c r="C24" s="10">
        <f>B24*B20</f>
        <v>2719.14</v>
      </c>
      <c r="D24" s="10">
        <f>0.069*C24</f>
        <v>187.62066000000002</v>
      </c>
      <c r="E24" s="10">
        <f>C24*0.0335</f>
        <v>91.09119</v>
      </c>
      <c r="F24" s="14">
        <f>C24-D24-E24</f>
        <v>2440.4281499999997</v>
      </c>
    </row>
    <row r="25" spans="1:6" ht="15">
      <c r="A25" s="2" t="s">
        <v>17</v>
      </c>
      <c r="B25" s="12">
        <v>3801.47</v>
      </c>
      <c r="C25" s="10">
        <f>B25*B20</f>
        <v>2851.1025</v>
      </c>
      <c r="D25" s="10">
        <f>0.069*C25</f>
        <v>196.72607250000001</v>
      </c>
      <c r="E25" s="10">
        <f>C25*0.0335</f>
        <v>95.51193375000001</v>
      </c>
      <c r="F25" s="14">
        <f>C25-D25-E25</f>
        <v>2558.86449375</v>
      </c>
    </row>
    <row r="26" spans="1:6" ht="15">
      <c r="A26" s="2" t="s">
        <v>19</v>
      </c>
      <c r="B26" s="12">
        <v>4458.97</v>
      </c>
      <c r="C26" s="10">
        <f>B26*B20</f>
        <v>3344.2275</v>
      </c>
      <c r="D26" s="10">
        <f>0.069*C26</f>
        <v>230.7516975</v>
      </c>
      <c r="E26" s="10">
        <f>C26*0.0335</f>
        <v>112.03162125</v>
      </c>
      <c r="F26" s="14">
        <f>C26-D26-E26</f>
        <v>3001.44418125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 hidden="1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38.67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2010-09-29T10:08:54Z</dcterms:created>
  <dcterms:modified xsi:type="dcterms:W3CDTF">2010-10-02T20:32:42Z</dcterms:modified>
  <cp:category/>
  <cp:version/>
  <cp:contentType/>
  <cp:contentStatus/>
</cp:coreProperties>
</file>