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5576" windowHeight="71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<sst xmlns="http://schemas.openxmlformats.org/spreadsheetml/2006/main" count="96" uniqueCount="80">
  <si>
    <t>Avertissement</t>
  </si>
  <si>
    <t>la revendication du Snes reste bien entendu le retour à la retraite à 60 ans à taux plein</t>
  </si>
  <si>
    <t>Age d'entrée dans le métier</t>
  </si>
  <si>
    <t>pour les femmes ,  nombre enfants nés avant 2004</t>
  </si>
  <si>
    <t>nombre  total annuités à 62 ans</t>
  </si>
  <si>
    <t>1) calcul nombre annuités</t>
  </si>
  <si>
    <t>salaire brut certifié dernier echelon hors classe</t>
  </si>
  <si>
    <t>pour les femmes ,  nombre enfants nés à partir de 2004  uniquement si vous étiez déjà fonctionnaire en activité</t>
  </si>
  <si>
    <t>ans</t>
  </si>
  <si>
    <t>nombre années décote ini</t>
  </si>
  <si>
    <t>impact decote années manquantes</t>
  </si>
  <si>
    <t>nombre annuités à 62 ans premier calcul</t>
  </si>
  <si>
    <t>&lt;--à renseigner</t>
  </si>
  <si>
    <t>Avec le projet Ayrault,ce qui va rester de votre retraite</t>
  </si>
  <si>
    <t>sur une retraite à taux plein pour les collègues nés à partir de 1973</t>
  </si>
  <si>
    <t>L'Ayraultscope</t>
  </si>
  <si>
    <t>nombre annuités à 60 ans ini</t>
  </si>
  <si>
    <t>calcul taux ini annuités</t>
  </si>
  <si>
    <t>taux remplacement 1</t>
  </si>
  <si>
    <t xml:space="preserve">nombre annuités à 60 ans </t>
  </si>
  <si>
    <t>taux de remplacement</t>
  </si>
  <si>
    <t>impact décote</t>
  </si>
  <si>
    <t xml:space="preserve">Avec Ayrault pour avoir une retraite complète , vous devriez travailler jusqu'à </t>
  </si>
  <si>
    <t xml:space="preserve">Avec Fillon 40 annuités, il vous en manque </t>
  </si>
  <si>
    <t xml:space="preserve">Avec Fillon  pour avoir une retraite complète , vous auriez du  travailler jusqu'à </t>
  </si>
  <si>
    <t xml:space="preserve">ce document essaie d'évaluer l'impact du projet gouvernemental </t>
  </si>
  <si>
    <t xml:space="preserve">nombre annuités à 62 ans </t>
  </si>
  <si>
    <t>annuités manquantes</t>
  </si>
  <si>
    <t>pour une retraite à 60 ans</t>
  </si>
  <si>
    <t>pour une retraite à 62 ans</t>
  </si>
  <si>
    <t>calcul ini taux plein</t>
  </si>
  <si>
    <t>taux de remplacement à 60 ans</t>
  </si>
  <si>
    <t>nombre  total annuités à 60 ans</t>
  </si>
  <si>
    <t>a) votre retraite avec le projet Ayrault</t>
  </si>
  <si>
    <t>pour avoir une retraite à taux plein vous auriez du travailler jusqu'à</t>
  </si>
  <si>
    <t>sur la base du dernier échelon certifié hors classe soit</t>
  </si>
  <si>
    <t>interruption activité (disponibilité etc)</t>
  </si>
  <si>
    <t>taux de remplacement à 62 ans</t>
  </si>
  <si>
    <t>3)Les calculs détaillés</t>
  </si>
  <si>
    <t xml:space="preserve"> par rapport à un âge de départ à 62 ans et pour un collègue qui a une carriere à temps complet</t>
  </si>
  <si>
    <t>2)Simulations sur les effets des réformes : Fillon 2003, Sarkozy 2010, Ayrault</t>
  </si>
  <si>
    <t>Récapitulatif votre retraite d'une réforme à l'autre</t>
  </si>
  <si>
    <t>b) avant  2003: retraite à 60 ans 37,5 annuités</t>
  </si>
  <si>
    <t>c) Fillon 2003:  retraite à 60 ans 40 annuités</t>
  </si>
  <si>
    <t>nombre années decote</t>
  </si>
  <si>
    <t xml:space="preserve">nombre années décote </t>
  </si>
  <si>
    <t>rappel année naissance</t>
  </si>
  <si>
    <t>nés en 1973 et apres 43</t>
  </si>
  <si>
    <t>nés 1970 à 1972 42,75</t>
  </si>
  <si>
    <t>nés 1967à 1969 42,5</t>
  </si>
  <si>
    <t>nés 1964 à 1966 42,25</t>
  </si>
  <si>
    <t>nés 1961 à 1963 42</t>
  </si>
  <si>
    <t>nombre annuités exigées</t>
  </si>
  <si>
    <t xml:space="preserve">Avec Sarkozy 41,75 annuités, il vous en manque </t>
  </si>
  <si>
    <t>d)Sarkozy 2010:  retraite à 62 ans 41,75 annuités</t>
  </si>
  <si>
    <t xml:space="preserve"> selon votre âge nombre annuités exigées par le projet Ayrault</t>
  </si>
  <si>
    <r>
      <t>Fillon 2003</t>
    </r>
    <r>
      <rPr>
        <b/>
        <sz val="14"/>
        <rFont val="Arial"/>
        <family val="2"/>
      </rPr>
      <t xml:space="preserve"> retraite à 60 ans 40 annuités</t>
    </r>
  </si>
  <si>
    <r>
      <t>Sarkozy 2010</t>
    </r>
    <r>
      <rPr>
        <b/>
        <sz val="14"/>
        <rFont val="Arial"/>
        <family val="2"/>
      </rPr>
      <t xml:space="preserve"> retraite à 62 ans 41,75 annuités (en 2020)</t>
    </r>
  </si>
  <si>
    <r>
      <t>Ayrault</t>
    </r>
    <r>
      <rPr>
        <b/>
        <sz val="14"/>
        <rFont val="Arial"/>
        <family val="2"/>
      </rPr>
      <t xml:space="preserve"> retraite à 62 ans 43 annuités (en 2035)</t>
    </r>
  </si>
  <si>
    <t>pour les collègues nés avant 1961 s'applique la situation "Sarkozy" confirmée par le projet Ayrault</t>
  </si>
  <si>
    <t xml:space="preserve">pour le projet AYRAULT  il vous  manque </t>
  </si>
  <si>
    <t>annuités</t>
  </si>
  <si>
    <t>Le projet Ayrault prévoit une montée de la durée de cotisation à 43 ans pour les collègues nés en 1973 ou après et une montée en charge progressive pour les collègues nés entre 1961 et 1973</t>
  </si>
  <si>
    <t>nous calculons ici en fonction de votre année de naissance votre situation</t>
  </si>
  <si>
    <t xml:space="preserve">pour avoir une retraite à taux plein , il vous faudrait travailler jusqu'à </t>
  </si>
  <si>
    <t>Votre taux de remplacement à 60 ans (avant 2003 et Fillon) , à 62 ans (Sarkozy et Ayrault)</t>
  </si>
  <si>
    <t>retraite  brute à taux plein</t>
  </si>
  <si>
    <t>retraite brute  effective à 62 ans</t>
  </si>
  <si>
    <t xml:space="preserve"> La retraite  brute à taux plein(75 % du dernier salaire brut 6 derniers mois) est de</t>
  </si>
  <si>
    <t>les collègues nés avant 1961 sont concernés par la seule Réforme Sarkozy voir 3d)</t>
  </si>
  <si>
    <t>nés avant 1961 Sarkozy</t>
  </si>
  <si>
    <t>votre retraite brute à 60 ans (avant 2003, Fillon), à 62 ans (Sarkozy Ayrault)</t>
  </si>
  <si>
    <t>retraite brute effective dans ce cas à 60 ans</t>
  </si>
  <si>
    <t>Selon votre âge: vous êtes nés avant 1961, vous êtes concernés par la réforme Sarkozy confirmée par le projet Ayrault. Nés à partir de 1961 vous êtes concernés par la Réforme Ayrault</t>
  </si>
  <si>
    <r>
      <t>Avant 2003</t>
    </r>
    <r>
      <rPr>
        <b/>
        <sz val="14"/>
        <rFont val="Arial"/>
        <family val="2"/>
      </rPr>
      <t xml:space="preserve"> retraite à 60 ans 37,5 annuités</t>
    </r>
  </si>
  <si>
    <t xml:space="preserve">Avec Sarkozy pour avoir une retraite complète , vous devriez travailler jusqu'à </t>
  </si>
  <si>
    <t>retraite brute effective dans ce cas à 62 ans</t>
  </si>
  <si>
    <r>
      <t xml:space="preserve">la Réforme Sarkozy (retraite à 62 ans, 41,75 annuités) s'applique pleinement aux collègues nés apres 1957. Pour les collègues nés  auparavant elle </t>
    </r>
    <r>
      <rPr>
        <b/>
        <i/>
        <sz val="12"/>
        <color indexed="18"/>
        <rFont val="Arial"/>
        <family val="2"/>
      </rPr>
      <t>monte en charge</t>
    </r>
    <r>
      <rPr>
        <b/>
        <sz val="12"/>
        <color indexed="18"/>
        <rFont val="Arial"/>
        <family val="2"/>
      </rPr>
      <t xml:space="preserve"> pour l'âge de départ 62 ans pour les collègues nés apres 1954 et pour le nombre d'annuités. La reforme Ayrault entérine cette montée en charge.</t>
    </r>
  </si>
  <si>
    <t>"Il y aura des efforts à faire mais ces efforts ne seront pas écrasants", le premier ministre  après avoir reçu le rapport Moreau sur les retraites:.sans commentaire.</t>
  </si>
  <si>
    <t xml:space="preserve">année de naissance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</si>
</sst>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#,##0.0\ &quot;€&quot;"/>
    <numFmt numFmtId="167" formatCode="&quot;Vrai&quot;;&quot;Vrai&quot;;&quot;Faux&quot;"/>
    <numFmt numFmtId="168" formatCode="&quot;Actif&quot;;&quot;Actif&quot;;&quot;Inactif&quot;"/>
    <numFmt numFmtId="169" formatCode="0.0"/>
    <numFmt numFmtId="170" formatCode="[$-40C]dddd\ d\ mmmm\ yyyy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u val="single"/>
      <sz val="12"/>
      <name val="Arial"/>
      <family val="2"/>
    </font>
    <font>
      <b/>
      <u val="single"/>
      <sz val="2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u val="single"/>
      <sz val="20"/>
      <color indexed="18"/>
      <name val="Arial"/>
      <family val="2"/>
    </font>
    <font>
      <b/>
      <u val="single"/>
      <sz val="14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u val="single"/>
      <sz val="18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i/>
      <sz val="12"/>
      <color indexed="18"/>
      <name val="Arial"/>
      <family val="2"/>
    </font>
    <font>
      <sz val="12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3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8" fillId="4" borderId="0" xfId="0" applyFont="1" applyFill="1" applyAlignment="1">
      <alignment/>
    </xf>
    <xf numFmtId="165" fontId="9" fillId="3" borderId="0" xfId="19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right" wrapText="1"/>
    </xf>
    <xf numFmtId="0" fontId="10" fillId="3" borderId="0" xfId="0" applyFont="1" applyFill="1" applyAlignment="1">
      <alignment wrapText="1"/>
    </xf>
    <xf numFmtId="0" fontId="9" fillId="3" borderId="0" xfId="19" applyNumberFormat="1" applyFont="1" applyFill="1" applyAlignment="1">
      <alignment/>
    </xf>
    <xf numFmtId="169" fontId="2" fillId="3" borderId="0" xfId="0" applyNumberFormat="1" applyFont="1" applyFill="1" applyAlignment="1">
      <alignment/>
    </xf>
    <xf numFmtId="165" fontId="9" fillId="4" borderId="0" xfId="19" applyNumberFormat="1" applyFont="1" applyFill="1" applyAlignment="1">
      <alignment/>
    </xf>
    <xf numFmtId="0" fontId="9" fillId="4" borderId="0" xfId="0" applyFont="1" applyFill="1" applyAlignment="1">
      <alignment/>
    </xf>
    <xf numFmtId="164" fontId="9" fillId="3" borderId="0" xfId="19" applyNumberFormat="1" applyFont="1" applyFill="1" applyAlignment="1">
      <alignment/>
    </xf>
    <xf numFmtId="0" fontId="9" fillId="3" borderId="0" xfId="0" applyFont="1" applyFill="1" applyAlignment="1">
      <alignment horizontal="center" wrapText="1"/>
    </xf>
    <xf numFmtId="169" fontId="9" fillId="3" borderId="0" xfId="0" applyNumberFormat="1" applyFont="1" applyFill="1" applyAlignment="1">
      <alignment/>
    </xf>
    <xf numFmtId="0" fontId="0" fillId="0" borderId="0" xfId="19" applyNumberFormat="1" applyFont="1" applyFill="1" applyAlignment="1">
      <alignment/>
    </xf>
    <xf numFmtId="165" fontId="10" fillId="4" borderId="0" xfId="19" applyNumberFormat="1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Alignment="1">
      <alignment/>
    </xf>
    <xf numFmtId="165" fontId="4" fillId="6" borderId="0" xfId="0" applyNumberFormat="1" applyFont="1" applyFill="1" applyAlignment="1">
      <alignment/>
    </xf>
    <xf numFmtId="0" fontId="4" fillId="6" borderId="0" xfId="0" applyFont="1" applyFill="1" applyAlignment="1">
      <alignment wrapText="1"/>
    </xf>
    <xf numFmtId="0" fontId="4" fillId="3" borderId="2" xfId="0" applyFont="1" applyFill="1" applyBorder="1" applyAlignment="1">
      <alignment wrapText="1"/>
    </xf>
    <xf numFmtId="0" fontId="8" fillId="4" borderId="0" xfId="0" applyFont="1" applyFill="1" applyAlignment="1">
      <alignment horizontal="left" wrapText="1"/>
    </xf>
    <xf numFmtId="0" fontId="11" fillId="4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4" fontId="9" fillId="3" borderId="0" xfId="19" applyNumberFormat="1" applyFont="1" applyFill="1" applyAlignment="1">
      <alignment/>
    </xf>
    <xf numFmtId="0" fontId="16" fillId="4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0" fontId="17" fillId="5" borderId="0" xfId="0" applyFont="1" applyFill="1" applyAlignment="1">
      <alignment/>
    </xf>
    <xf numFmtId="0" fontId="8" fillId="4" borderId="3" xfId="0" applyFont="1" applyFill="1" applyBorder="1" applyAlignment="1">
      <alignment horizontal="center" vertical="center" wrapText="1"/>
    </xf>
    <xf numFmtId="2" fontId="18" fillId="4" borderId="0" xfId="0" applyNumberFormat="1" applyFont="1" applyFill="1" applyAlignment="1">
      <alignment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15" fillId="3" borderId="0" xfId="0" applyFont="1" applyFill="1" applyAlignment="1">
      <alignment/>
    </xf>
    <xf numFmtId="0" fontId="15" fillId="3" borderId="6" xfId="0" applyFont="1" applyFill="1" applyBorder="1" applyAlignment="1">
      <alignment/>
    </xf>
    <xf numFmtId="0" fontId="13" fillId="7" borderId="0" xfId="0" applyFont="1" applyFill="1" applyAlignment="1">
      <alignment/>
    </xf>
    <xf numFmtId="2" fontId="2" fillId="7" borderId="0" xfId="0" applyNumberFormat="1" applyFont="1" applyFill="1" applyAlignment="1">
      <alignment/>
    </xf>
    <xf numFmtId="0" fontId="19" fillId="4" borderId="0" xfId="0" applyFont="1" applyFill="1" applyAlignment="1">
      <alignment/>
    </xf>
    <xf numFmtId="0" fontId="19" fillId="3" borderId="0" xfId="0" applyFont="1" applyFill="1" applyAlignment="1">
      <alignment/>
    </xf>
    <xf numFmtId="0" fontId="16" fillId="3" borderId="0" xfId="0" applyFont="1" applyFill="1" applyAlignment="1">
      <alignment horizontal="center" wrapText="1"/>
    </xf>
    <xf numFmtId="0" fontId="2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2" fillId="7" borderId="0" xfId="19" applyNumberFormat="1" applyFont="1" applyFill="1" applyAlignment="1">
      <alignment/>
    </xf>
    <xf numFmtId="164" fontId="2" fillId="7" borderId="0" xfId="19" applyNumberFormat="1" applyFont="1" applyFill="1" applyAlignment="1">
      <alignment/>
    </xf>
    <xf numFmtId="0" fontId="2" fillId="7" borderId="0" xfId="0" applyFont="1" applyFill="1" applyAlignment="1">
      <alignment horizontal="center" wrapText="1"/>
    </xf>
    <xf numFmtId="0" fontId="4" fillId="7" borderId="0" xfId="0" applyFont="1" applyFill="1" applyAlignment="1">
      <alignment/>
    </xf>
    <xf numFmtId="165" fontId="4" fillId="7" borderId="0" xfId="0" applyNumberFormat="1" applyFont="1" applyFill="1" applyAlignment="1">
      <alignment/>
    </xf>
    <xf numFmtId="0" fontId="4" fillId="7" borderId="0" xfId="0" applyFont="1" applyFill="1" applyAlignment="1">
      <alignment wrapText="1"/>
    </xf>
    <xf numFmtId="164" fontId="0" fillId="7" borderId="0" xfId="19" applyNumberFormat="1" applyFont="1" applyFill="1" applyAlignment="1">
      <alignment/>
    </xf>
    <xf numFmtId="10" fontId="2" fillId="7" borderId="0" xfId="19" applyNumberFormat="1" applyFont="1" applyFill="1" applyAlignment="1">
      <alignment/>
    </xf>
    <xf numFmtId="2" fontId="2" fillId="7" borderId="0" xfId="19" applyNumberFormat="1" applyFont="1" applyFill="1" applyAlignment="1">
      <alignment/>
    </xf>
    <xf numFmtId="1" fontId="2" fillId="7" borderId="0" xfId="0" applyNumberFormat="1" applyFont="1" applyFill="1" applyAlignment="1">
      <alignment/>
    </xf>
    <xf numFmtId="9" fontId="2" fillId="7" borderId="0" xfId="19" applyFont="1" applyFill="1" applyAlignment="1">
      <alignment/>
    </xf>
    <xf numFmtId="0" fontId="0" fillId="7" borderId="0" xfId="0" applyFill="1" applyAlignment="1">
      <alignment/>
    </xf>
    <xf numFmtId="0" fontId="19" fillId="4" borderId="0" xfId="0" applyFont="1" applyFill="1" applyAlignment="1">
      <alignment wrapText="1"/>
    </xf>
    <xf numFmtId="0" fontId="23" fillId="0" borderId="0" xfId="0" applyFont="1" applyAlignment="1">
      <alignment/>
    </xf>
    <xf numFmtId="4" fontId="9" fillId="4" borderId="0" xfId="19" applyNumberFormat="1" applyFont="1" applyFill="1" applyAlignment="1">
      <alignment/>
    </xf>
    <xf numFmtId="0" fontId="14" fillId="3" borderId="0" xfId="0" applyFont="1" applyFill="1" applyAlignment="1">
      <alignment/>
    </xf>
    <xf numFmtId="0" fontId="20" fillId="3" borderId="0" xfId="19" applyNumberFormat="1" applyFont="1" applyFill="1" applyAlignment="1">
      <alignment/>
    </xf>
    <xf numFmtId="0" fontId="21" fillId="3" borderId="0" xfId="0" applyFont="1" applyFill="1" applyAlignment="1">
      <alignment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69" fontId="4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versailles.snes.edu/local/cache-vignettes/L180xH58/siteon0-d783b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914400</xdr:colOff>
      <xdr:row>0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9"/>
  <sheetViews>
    <sheetView tabSelected="1" workbookViewId="0" topLeftCell="A16">
      <selection activeCell="A3" sqref="A3"/>
    </sheetView>
  </sheetViews>
  <sheetFormatPr defaultColWidth="11.421875" defaultRowHeight="12.75"/>
  <cols>
    <col min="1" max="1" width="78.7109375" style="0" customWidth="1"/>
    <col min="2" max="2" width="25.140625" style="0" customWidth="1"/>
    <col min="3" max="3" width="16.7109375" style="0" customWidth="1"/>
    <col min="4" max="4" width="17.28125" style="0" customWidth="1"/>
    <col min="5" max="5" width="19.140625" style="0" customWidth="1"/>
  </cols>
  <sheetData>
    <row r="1" ht="41.25" customHeight="1"/>
    <row r="2" ht="30">
      <c r="A2" s="7" t="s">
        <v>15</v>
      </c>
    </row>
    <row r="3" ht="22.5">
      <c r="A3" s="6" t="s">
        <v>13</v>
      </c>
    </row>
    <row r="4" s="2" customFormat="1" ht="15">
      <c r="A4" s="10" t="s">
        <v>0</v>
      </c>
    </row>
    <row r="5" ht="12.75">
      <c r="A5" s="1" t="s">
        <v>25</v>
      </c>
    </row>
    <row r="6" ht="12.75">
      <c r="A6" s="9" t="s">
        <v>39</v>
      </c>
    </row>
    <row r="7" spans="1:2" ht="57.75" customHeight="1">
      <c r="A7" s="54" t="s">
        <v>1</v>
      </c>
      <c r="B7" s="53"/>
    </row>
    <row r="8" spans="1:3" ht="31.5" customHeight="1">
      <c r="A8" s="59" t="s">
        <v>62</v>
      </c>
      <c r="B8" s="60"/>
      <c r="C8" s="60"/>
    </row>
    <row r="9" spans="1:3" ht="15">
      <c r="A9" s="2" t="s">
        <v>63</v>
      </c>
      <c r="B9" s="61"/>
      <c r="C9" s="61"/>
    </row>
    <row r="10" spans="1:3" ht="30.75">
      <c r="A10" s="62" t="s">
        <v>59</v>
      </c>
      <c r="B10" s="61"/>
      <c r="C10" s="61"/>
    </row>
    <row r="11" spans="1:3" ht="24">
      <c r="A11" s="17" t="s">
        <v>5</v>
      </c>
      <c r="B11" s="8"/>
      <c r="C11" s="8"/>
    </row>
    <row r="12" spans="1:3" ht="15">
      <c r="A12" s="3" t="s">
        <v>79</v>
      </c>
      <c r="B12" s="41">
        <v>1978</v>
      </c>
      <c r="C12" s="16" t="s">
        <v>12</v>
      </c>
    </row>
    <row r="13" spans="1:3" ht="35.25" customHeight="1">
      <c r="A13" s="63" t="s">
        <v>73</v>
      </c>
      <c r="B13" s="64"/>
      <c r="C13" s="65"/>
    </row>
    <row r="14" spans="1:3" ht="15">
      <c r="A14" s="3" t="s">
        <v>2</v>
      </c>
      <c r="B14" s="41">
        <v>25</v>
      </c>
      <c r="C14" s="16" t="s">
        <v>12</v>
      </c>
    </row>
    <row r="15" spans="1:3" ht="12.75">
      <c r="A15" s="4" t="s">
        <v>11</v>
      </c>
      <c r="B15" s="4">
        <f>62-B14</f>
        <v>37</v>
      </c>
      <c r="C15" s="44"/>
    </row>
    <row r="16" spans="1:3" ht="15">
      <c r="A16" s="3" t="s">
        <v>3</v>
      </c>
      <c r="B16" s="42">
        <v>1</v>
      </c>
      <c r="C16" s="16" t="s">
        <v>12</v>
      </c>
    </row>
    <row r="17" spans="1:3" ht="27">
      <c r="A17" s="14" t="s">
        <v>7</v>
      </c>
      <c r="B17" s="42">
        <v>0</v>
      </c>
      <c r="C17" s="16" t="s">
        <v>12</v>
      </c>
    </row>
    <row r="18" spans="1:3" ht="15">
      <c r="A18" s="14" t="s">
        <v>36</v>
      </c>
      <c r="B18" s="42">
        <v>0</v>
      </c>
      <c r="C18" s="16" t="s">
        <v>12</v>
      </c>
    </row>
    <row r="19" spans="1:3" ht="17.25">
      <c r="A19" s="4" t="s">
        <v>32</v>
      </c>
      <c r="B19" s="5">
        <f>B20-2</f>
        <v>36</v>
      </c>
      <c r="C19" s="43"/>
    </row>
    <row r="20" spans="1:3" ht="17.25">
      <c r="A20" s="4" t="s">
        <v>4</v>
      </c>
      <c r="B20" s="5">
        <f>B15+B16+B17-B18</f>
        <v>38</v>
      </c>
      <c r="C20" s="44"/>
    </row>
    <row r="22" spans="1:5" ht="22.5">
      <c r="A22" s="48" t="s">
        <v>40</v>
      </c>
      <c r="B22" s="31"/>
      <c r="C22" s="31"/>
      <c r="D22" s="31"/>
      <c r="E22" s="31"/>
    </row>
    <row r="23" spans="1:5" ht="17.25">
      <c r="A23" s="35" t="s">
        <v>35</v>
      </c>
      <c r="B23" s="36">
        <v>3607</v>
      </c>
      <c r="C23" s="31"/>
      <c r="D23" s="31"/>
      <c r="E23" s="31"/>
    </row>
    <row r="24" spans="1:5" ht="34.5">
      <c r="A24" s="37" t="s">
        <v>68</v>
      </c>
      <c r="B24" s="36">
        <f>B23*75%</f>
        <v>2705.25</v>
      </c>
      <c r="C24" s="31"/>
      <c r="D24" s="31"/>
      <c r="E24" s="31"/>
    </row>
    <row r="25" spans="1:5" ht="104.25">
      <c r="A25" s="49" t="s">
        <v>41</v>
      </c>
      <c r="B25" s="91" t="s">
        <v>74</v>
      </c>
      <c r="C25" s="91" t="s">
        <v>56</v>
      </c>
      <c r="D25" s="91" t="s">
        <v>57</v>
      </c>
      <c r="E25" s="92" t="s">
        <v>58</v>
      </c>
    </row>
    <row r="26" spans="1:5" ht="34.5">
      <c r="A26" s="38" t="s">
        <v>64</v>
      </c>
      <c r="B26" s="93">
        <f>B59</f>
        <v>61.5</v>
      </c>
      <c r="C26" s="94">
        <f>B66</f>
        <v>64</v>
      </c>
      <c r="D26" s="94">
        <f>B80</f>
        <v>65.75</v>
      </c>
      <c r="E26" s="95">
        <f>B43</f>
        <v>67</v>
      </c>
    </row>
    <row r="27" spans="1:5" ht="34.5">
      <c r="A27" s="38" t="s">
        <v>65</v>
      </c>
      <c r="B27" s="96">
        <f>B60</f>
        <v>0.72</v>
      </c>
      <c r="C27" s="96">
        <f>B71</f>
        <v>0.54</v>
      </c>
      <c r="D27" s="96">
        <f>B85</f>
        <v>0.5546407185628742</v>
      </c>
      <c r="E27" s="97">
        <f>B49</f>
        <v>0.497093023255814</v>
      </c>
    </row>
    <row r="28" spans="1:5" ht="34.5">
      <c r="A28" s="38" t="s">
        <v>71</v>
      </c>
      <c r="B28" s="98">
        <f>B61</f>
        <v>2597.04</v>
      </c>
      <c r="C28" s="98">
        <f>B72</f>
        <v>1947.7800000000002</v>
      </c>
      <c r="D28" s="98">
        <f>B86</f>
        <v>2000.5890718562873</v>
      </c>
      <c r="E28" s="99">
        <f>B52</f>
        <v>1793.0145348837211</v>
      </c>
    </row>
    <row r="29" spans="2:5" ht="17.25">
      <c r="B29" s="58" t="s">
        <v>28</v>
      </c>
      <c r="C29" s="58"/>
      <c r="D29" s="51" t="s">
        <v>29</v>
      </c>
      <c r="E29" s="52"/>
    </row>
    <row r="30" spans="1:5" ht="17.25">
      <c r="A30" s="32"/>
      <c r="B30" s="33"/>
      <c r="C30" s="33"/>
      <c r="D30" s="34"/>
      <c r="E30" s="34"/>
    </row>
    <row r="31" spans="1:2" s="13" customFormat="1" ht="24">
      <c r="A31" s="39" t="s">
        <v>38</v>
      </c>
      <c r="B31" s="12"/>
    </row>
    <row r="32" spans="1:20" s="8" customFormat="1" ht="24">
      <c r="A32" s="40" t="s">
        <v>33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8" customFormat="1" ht="15">
      <c r="A33" s="68" t="s">
        <v>46</v>
      </c>
      <c r="B33" s="68">
        <f>B12</f>
        <v>1978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8" customFormat="1" ht="17.25">
      <c r="A34" s="46" t="s">
        <v>55</v>
      </c>
      <c r="B34" s="50">
        <f>B36</f>
        <v>43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8" customFormat="1" ht="17.25">
      <c r="A35" s="46" t="s">
        <v>69</v>
      </c>
      <c r="B35" s="4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8" customFormat="1" ht="17.25" hidden="1">
      <c r="A36" s="66" t="s">
        <v>47</v>
      </c>
      <c r="B36" s="67">
        <f>IF(B33&gt;1972,43,B37)</f>
        <v>43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s="8" customFormat="1" ht="17.25" hidden="1">
      <c r="A37" s="66" t="s">
        <v>48</v>
      </c>
      <c r="B37" s="67">
        <f>IF(B33&gt;1969,42.75,B38)</f>
        <v>42.75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8" customFormat="1" ht="17.25" hidden="1">
      <c r="A38" s="66" t="s">
        <v>49</v>
      </c>
      <c r="B38" s="67">
        <f>IF(B33&gt;1966,42.5,B39)</f>
        <v>42.5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8" customFormat="1" ht="17.25" hidden="1">
      <c r="A39" s="66" t="s">
        <v>50</v>
      </c>
      <c r="B39" s="67">
        <f>IF(B33&gt;1963,42.25,B40)</f>
        <v>42.25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8" customFormat="1" ht="17.25" hidden="1">
      <c r="A40" s="66" t="s">
        <v>51</v>
      </c>
      <c r="B40" s="67">
        <f>IF(B33&gt;1960,42,B41)</f>
        <v>42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s="8" customFormat="1" ht="17.25" hidden="1">
      <c r="A41" s="66" t="s">
        <v>70</v>
      </c>
      <c r="B41" s="67">
        <f>B77</f>
        <v>41.75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8" customFormat="1" ht="24">
      <c r="A42" s="69" t="s">
        <v>60</v>
      </c>
      <c r="B42" s="19">
        <f>B34-B20</f>
        <v>5</v>
      </c>
      <c r="C42" s="19" t="s">
        <v>61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8" customFormat="1" ht="36">
      <c r="A43" s="70" t="s">
        <v>22</v>
      </c>
      <c r="B43" s="20">
        <f>62+B42</f>
        <v>67</v>
      </c>
      <c r="C43" s="19" t="s">
        <v>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" ht="12.75" hidden="1">
      <c r="A44" s="71" t="s">
        <v>14</v>
      </c>
      <c r="B44" s="72"/>
    </row>
    <row r="45" spans="1:2" ht="12.75" hidden="1">
      <c r="A45" s="71" t="s">
        <v>9</v>
      </c>
      <c r="B45" s="73">
        <f>B42</f>
        <v>5</v>
      </c>
    </row>
    <row r="46" spans="1:2" ht="12.75" hidden="1">
      <c r="A46" s="71" t="s">
        <v>44</v>
      </c>
      <c r="B46" s="67">
        <f>IF(B45&gt;5,5,B45)</f>
        <v>5</v>
      </c>
    </row>
    <row r="47" spans="1:2" ht="12.75" hidden="1">
      <c r="A47" s="71" t="s">
        <v>10</v>
      </c>
      <c r="B47" s="74">
        <f>B46*5%</f>
        <v>0.25</v>
      </c>
    </row>
    <row r="48" spans="1:2" ht="12.75" hidden="1">
      <c r="A48" s="75" t="s">
        <v>18</v>
      </c>
      <c r="B48" s="79">
        <f>75%*(B20/B34)</f>
        <v>0.6627906976744187</v>
      </c>
    </row>
    <row r="49" spans="1:3" ht="24">
      <c r="A49" s="27" t="s">
        <v>37</v>
      </c>
      <c r="B49" s="26">
        <f>B48*(100%-B47)</f>
        <v>0.497093023255814</v>
      </c>
      <c r="C49" s="4"/>
    </row>
    <row r="50" spans="1:3" ht="17.25" hidden="1">
      <c r="A50" s="76" t="s">
        <v>6</v>
      </c>
      <c r="B50" s="77">
        <v>3607</v>
      </c>
      <c r="C50" s="1"/>
    </row>
    <row r="51" spans="1:3" ht="17.25" hidden="1">
      <c r="A51" s="78" t="s">
        <v>66</v>
      </c>
      <c r="B51" s="77">
        <f>B50*75%</f>
        <v>2705.25</v>
      </c>
      <c r="C51" s="1"/>
    </row>
    <row r="52" spans="1:3" ht="24">
      <c r="A52" s="19" t="s">
        <v>67</v>
      </c>
      <c r="B52" s="18">
        <f>B50*B49</f>
        <v>1793.0145348837211</v>
      </c>
      <c r="C52" s="1"/>
    </row>
    <row r="53" spans="1:3" ht="26.25" customHeight="1">
      <c r="A53" s="56"/>
      <c r="B53" s="57"/>
      <c r="C53" s="1"/>
    </row>
    <row r="54" spans="1:3" ht="24">
      <c r="A54" s="40" t="s">
        <v>42</v>
      </c>
      <c r="B54" s="24"/>
      <c r="C54" s="1"/>
    </row>
    <row r="55" spans="1:3" ht="12.75" hidden="1">
      <c r="A55" s="15" t="s">
        <v>16</v>
      </c>
      <c r="B55" s="29">
        <f>B20-2</f>
        <v>36</v>
      </c>
      <c r="C55" s="1"/>
    </row>
    <row r="56" spans="1:3" ht="24">
      <c r="A56" s="69" t="s">
        <v>19</v>
      </c>
      <c r="B56" s="28">
        <f>IF(B55&gt;37.5,37.5,B55)</f>
        <v>36</v>
      </c>
      <c r="C56" s="1"/>
    </row>
    <row r="57" spans="1:3" ht="24">
      <c r="A57" s="69" t="s">
        <v>27</v>
      </c>
      <c r="B57" s="28">
        <f>37.5-B56</f>
        <v>1.5</v>
      </c>
      <c r="C57" s="1"/>
    </row>
    <row r="58" spans="1:3" ht="12.75" hidden="1">
      <c r="A58" s="4" t="s">
        <v>30</v>
      </c>
      <c r="B58" s="23">
        <f>60+B57</f>
        <v>61.5</v>
      </c>
      <c r="C58" s="1"/>
    </row>
    <row r="59" spans="1:3" ht="48.75">
      <c r="A59" s="21" t="s">
        <v>34</v>
      </c>
      <c r="B59" s="28">
        <f>IF(B58&lt;60,60,B58)</f>
        <v>61.5</v>
      </c>
      <c r="C59" s="19" t="s">
        <v>8</v>
      </c>
    </row>
    <row r="60" spans="1:3" ht="24">
      <c r="A60" s="19" t="s">
        <v>31</v>
      </c>
      <c r="B60" s="26">
        <f>75%*(B56/37.5)</f>
        <v>0.72</v>
      </c>
      <c r="C60" s="1"/>
    </row>
    <row r="61" spans="1:3" ht="24">
      <c r="A61" s="25" t="s">
        <v>72</v>
      </c>
      <c r="B61" s="24">
        <f>B50*B60</f>
        <v>2597.04</v>
      </c>
      <c r="C61" s="1"/>
    </row>
    <row r="62" spans="1:3" ht="24">
      <c r="A62" s="19"/>
      <c r="B62" s="18"/>
      <c r="C62" s="1"/>
    </row>
    <row r="63" spans="1:3" ht="24">
      <c r="A63" s="40" t="s">
        <v>43</v>
      </c>
      <c r="B63" s="24"/>
      <c r="C63" s="1"/>
    </row>
    <row r="64" spans="1:3" ht="24">
      <c r="A64" s="69" t="s">
        <v>19</v>
      </c>
      <c r="B64" s="22">
        <f>B20-2</f>
        <v>36</v>
      </c>
      <c r="C64" s="1"/>
    </row>
    <row r="65" spans="1:3" ht="24">
      <c r="A65" s="69" t="s">
        <v>23</v>
      </c>
      <c r="B65" s="22">
        <f>40-B64</f>
        <v>4</v>
      </c>
      <c r="C65" s="1"/>
    </row>
    <row r="66" spans="1:3" ht="36">
      <c r="A66" s="11" t="s">
        <v>24</v>
      </c>
      <c r="B66" s="22">
        <f>60+B65</f>
        <v>64</v>
      </c>
      <c r="C66" s="19" t="s">
        <v>8</v>
      </c>
    </row>
    <row r="67" spans="1:3" ht="12.75" hidden="1">
      <c r="A67" s="71" t="s">
        <v>17</v>
      </c>
      <c r="B67" s="80">
        <f>75%*(B64/40)</f>
        <v>0.675</v>
      </c>
      <c r="C67" s="1"/>
    </row>
    <row r="68" spans="1:3" ht="12.75" hidden="1">
      <c r="A68" s="71" t="s">
        <v>9</v>
      </c>
      <c r="B68" s="81">
        <f>40-B64</f>
        <v>4</v>
      </c>
      <c r="C68" s="1"/>
    </row>
    <row r="69" spans="1:3" ht="12.75" hidden="1">
      <c r="A69" s="71" t="s">
        <v>45</v>
      </c>
      <c r="B69" s="82">
        <f>IF(B68&gt;5,5,B68)</f>
        <v>4</v>
      </c>
      <c r="C69" s="1"/>
    </row>
    <row r="70" spans="1:3" ht="12.75" hidden="1">
      <c r="A70" s="71" t="s">
        <v>21</v>
      </c>
      <c r="B70" s="83">
        <f>B69*5%</f>
        <v>0.2</v>
      </c>
      <c r="C70" s="1"/>
    </row>
    <row r="71" spans="1:3" ht="24">
      <c r="A71" s="19" t="s">
        <v>31</v>
      </c>
      <c r="B71" s="26">
        <f>B67*(100%-B70)</f>
        <v>0.54</v>
      </c>
      <c r="C71" s="1"/>
    </row>
    <row r="72" spans="1:3" ht="24">
      <c r="A72" s="19" t="s">
        <v>72</v>
      </c>
      <c r="B72" s="18">
        <f>B50*B71</f>
        <v>1947.7800000000002</v>
      </c>
      <c r="C72" s="1"/>
    </row>
    <row r="73" spans="1:3" ht="24">
      <c r="A73" s="19"/>
      <c r="B73" s="18"/>
      <c r="C73" s="1"/>
    </row>
    <row r="74" spans="1:3" ht="24">
      <c r="A74" s="40" t="s">
        <v>54</v>
      </c>
      <c r="B74" s="30"/>
      <c r="C74" s="1"/>
    </row>
    <row r="75" spans="1:3" s="90" customFormat="1" ht="24">
      <c r="A75" s="88" t="s">
        <v>46</v>
      </c>
      <c r="B75" s="89">
        <f>B12</f>
        <v>1978</v>
      </c>
      <c r="C75" s="88"/>
    </row>
    <row r="76" spans="1:3" ht="50.25" customHeight="1">
      <c r="A76" s="85" t="s">
        <v>77</v>
      </c>
      <c r="B76" s="86"/>
      <c r="C76" s="53"/>
    </row>
    <row r="77" spans="1:3" ht="24">
      <c r="A77" s="68" t="s">
        <v>52</v>
      </c>
      <c r="B77" s="87">
        <v>41.75</v>
      </c>
      <c r="C77" s="1"/>
    </row>
    <row r="78" spans="1:3" ht="24">
      <c r="A78" s="69" t="s">
        <v>26</v>
      </c>
      <c r="B78" s="22">
        <f>B20</f>
        <v>38</v>
      </c>
      <c r="C78" s="1"/>
    </row>
    <row r="79" spans="1:3" ht="24">
      <c r="A79" s="69" t="s">
        <v>53</v>
      </c>
      <c r="B79" s="45">
        <f>B77-B78</f>
        <v>3.75</v>
      </c>
      <c r="C79" s="1"/>
    </row>
    <row r="80" spans="1:3" ht="36">
      <c r="A80" s="11" t="s">
        <v>75</v>
      </c>
      <c r="B80" s="22">
        <f>62+B79</f>
        <v>65.75</v>
      </c>
      <c r="C80" s="19" t="s">
        <v>8</v>
      </c>
    </row>
    <row r="81" spans="1:3" s="84" customFormat="1" ht="12.75" hidden="1">
      <c r="A81" s="71" t="s">
        <v>17</v>
      </c>
      <c r="B81" s="80">
        <f>75%*(B78/B77)</f>
        <v>0.6826347305389221</v>
      </c>
      <c r="C81" s="71"/>
    </row>
    <row r="82" spans="1:3" s="84" customFormat="1" ht="12.75" hidden="1">
      <c r="A82" s="71" t="s">
        <v>9</v>
      </c>
      <c r="B82" s="81">
        <f>B77-B78</f>
        <v>3.75</v>
      </c>
      <c r="C82" s="71"/>
    </row>
    <row r="83" spans="1:3" s="84" customFormat="1" ht="12.75" hidden="1">
      <c r="A83" s="71" t="s">
        <v>45</v>
      </c>
      <c r="B83" s="67">
        <f>IF(B82&gt;5,5,B82)</f>
        <v>3.75</v>
      </c>
      <c r="C83" s="71"/>
    </row>
    <row r="84" spans="1:3" s="84" customFormat="1" ht="12.75" hidden="1">
      <c r="A84" s="71" t="s">
        <v>21</v>
      </c>
      <c r="B84" s="83">
        <f>B83*5%</f>
        <v>0.1875</v>
      </c>
      <c r="C84" s="71"/>
    </row>
    <row r="85" spans="1:3" ht="24">
      <c r="A85" s="19" t="s">
        <v>20</v>
      </c>
      <c r="B85" s="26">
        <f>B81*(100%-B84)</f>
        <v>0.5546407185628742</v>
      </c>
      <c r="C85" s="1"/>
    </row>
    <row r="86" spans="1:3" ht="24">
      <c r="A86" s="19" t="s">
        <v>76</v>
      </c>
      <c r="B86" s="18">
        <f>B50*B85</f>
        <v>2000.5890718562873</v>
      </c>
      <c r="C86" s="1"/>
    </row>
    <row r="87" spans="1:3" ht="24">
      <c r="A87" s="19"/>
      <c r="B87" s="18"/>
      <c r="C87" s="1"/>
    </row>
    <row r="88" spans="1:2" ht="36.75" customHeight="1">
      <c r="A88" s="55" t="s">
        <v>78</v>
      </c>
      <c r="B88" s="55"/>
    </row>
    <row r="89" ht="12.75">
      <c r="A89" s="1"/>
    </row>
  </sheetData>
  <sheetProtection password="C133" sheet="1" objects="1" scenarios="1"/>
  <mergeCells count="8">
    <mergeCell ref="A7:B7"/>
    <mergeCell ref="A88:B88"/>
    <mergeCell ref="A53:B53"/>
    <mergeCell ref="B29:C29"/>
    <mergeCell ref="A76:C76"/>
    <mergeCell ref="D29:E29"/>
    <mergeCell ref="A13:C13"/>
    <mergeCell ref="A8:C8"/>
  </mergeCells>
  <printOptions gridLines="1"/>
  <pageMargins left="0.75" right="0.75" top="1" bottom="1" header="0.4921259845" footer="0.4921259845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2013-06-15T10:16:09Z</dcterms:created>
  <dcterms:modified xsi:type="dcterms:W3CDTF">2013-09-16T15:08:54Z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